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Z:\2. Прайс-листы\"/>
    </mc:Choice>
  </mc:AlternateContent>
  <xr:revisionPtr revIDLastSave="0" documentId="13_ncr:1_{B7EE1CB8-0807-4A2F-BC8E-CF00A7F4C523}" xr6:coauthVersionLast="47" xr6:coauthVersionMax="47" xr10:uidLastSave="{00000000-0000-0000-0000-000000000000}"/>
  <bookViews>
    <workbookView xWindow="7200" yWindow="345" windowWidth="21600" windowHeight="11295" tabRatio="850" xr2:uid="{00000000-000D-0000-FFFF-FFFF00000000}"/>
  </bookViews>
  <sheets>
    <sheet name="ОГЛАВЛЕНИЕ" sheetId="2" r:id="rId1"/>
    <sheet name="Детский сад1" sheetId="28" r:id="rId2"/>
    <sheet name="Детский сад2" sheetId="29" r:id="rId3"/>
    <sheet name="Стеллажи детские" sheetId="27" r:id="rId4"/>
    <sheet name="Модульная1" sheetId="24" r:id="rId5"/>
    <sheet name="Модульная2" sheetId="25" r:id="rId6"/>
    <sheet name="Стулья" sheetId="30" r:id="rId7"/>
    <sheet name="Столы" sheetId="31" r:id="rId8"/>
    <sheet name="Шкафы" sheetId="32" r:id="rId9"/>
    <sheet name="Скамьи" sheetId="33" r:id="rId10"/>
    <sheet name="Кровати и тумбы" sheetId="34" r:id="rId11"/>
    <sheet name="Стенки и стеллажи" sheetId="35" r:id="rId12"/>
    <sheet name="Игровая мебель" sheetId="36" r:id="rId13"/>
    <sheet name="Композиции" sheetId="37" r:id="rId14"/>
  </sheets>
  <definedNames>
    <definedName name="_xlnm._FilterDatabase" localSheetId="12" hidden="1">'Игровая мебель'!$A$2:$L$2</definedName>
    <definedName name="_xlnm._FilterDatabase" localSheetId="10" hidden="1">'Кровати и тумбы'!$A$2:$I$2</definedName>
    <definedName name="_xlnm._FilterDatabase" localSheetId="9" hidden="1">Скамьи!$A$2:$L$2</definedName>
    <definedName name="_xlnm._FilterDatabase" localSheetId="11" hidden="1">'Стенки и стеллажи'!$A$2:$L$2</definedName>
    <definedName name="_xlnm._FilterDatabase" localSheetId="7" hidden="1">Столы!$A$2:$L$2</definedName>
    <definedName name="_xlnm._FilterDatabase" localSheetId="6" hidden="1">Стулья!$A$2:$I$2</definedName>
    <definedName name="_xlnm._FilterDatabase" localSheetId="8" hidden="1">Шкафы!$A$2:$J$2</definedName>
    <definedName name="_xlnm.Print_Titles" localSheetId="12">'Игровая мебель'!$2:$2</definedName>
    <definedName name="_xlnm.Print_Titles" localSheetId="10">'Кровати и тумбы'!$2:$2</definedName>
    <definedName name="_xlnm.Print_Titles" localSheetId="9">Скамьи!$2:$2</definedName>
    <definedName name="_xlnm.Print_Titles" localSheetId="11">'Стенки и стеллажи'!$2:$2</definedName>
    <definedName name="_xlnm.Print_Titles" localSheetId="7">Столы!$2:$2</definedName>
    <definedName name="_xlnm.Print_Titles" localSheetId="6">Стулья!$2:$2</definedName>
    <definedName name="_xlnm.Print_Titles" localSheetId="8">Шкафы!$2:$2</definedName>
    <definedName name="_xlnm.Print_Area" localSheetId="1">'Детский сад1'!$A$1:$BS$103</definedName>
    <definedName name="_xlnm.Print_Area" localSheetId="2">'Детский сад2'!$A$1:$BR$99</definedName>
    <definedName name="_xlnm.Print_Area" localSheetId="4">Модульная1!$A$1:$BS$97</definedName>
    <definedName name="_xlnm.Print_Area" localSheetId="5">Модульная2!$A$1:$BM$91</definedName>
    <definedName name="_xlnm.Print_Area" localSheetId="3">'Стеллажи детские'!$A$1:$BP$102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36" l="1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3" i="36"/>
  <c r="F4" i="35"/>
  <c r="F5" i="35"/>
  <c r="F6" i="35"/>
  <c r="F7" i="35"/>
  <c r="F8" i="35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" i="35"/>
  <c r="F4" i="34"/>
  <c r="F5" i="34"/>
  <c r="F6" i="34"/>
  <c r="F7" i="34"/>
  <c r="F8" i="34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3" i="34"/>
  <c r="F4" i="33"/>
  <c r="F5" i="33"/>
  <c r="F6" i="33"/>
  <c r="F7" i="33"/>
  <c r="F8" i="33"/>
  <c r="F9" i="33"/>
  <c r="F10" i="33"/>
  <c r="F11" i="33"/>
  <c r="F12" i="33"/>
  <c r="F13" i="33"/>
  <c r="F14" i="33"/>
  <c r="F15" i="33"/>
  <c r="F3" i="33"/>
  <c r="F4" i="32"/>
  <c r="F5" i="32"/>
  <c r="F6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3" i="32"/>
  <c r="F4" i="3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" i="31"/>
  <c r="F4" i="30"/>
  <c r="F5" i="30"/>
  <c r="F6" i="30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3" i="30"/>
  <c r="AT48" i="25"/>
  <c r="BN92" i="29" l="1"/>
  <c r="BA92" i="29"/>
  <c r="AO92" i="29"/>
  <c r="AD92" i="29"/>
  <c r="S92" i="29"/>
  <c r="H92" i="29"/>
  <c r="H91" i="29"/>
  <c r="H90" i="29"/>
  <c r="BN78" i="29"/>
  <c r="BB78" i="29"/>
  <c r="AO78" i="29"/>
  <c r="AD78" i="29"/>
  <c r="S78" i="29"/>
  <c r="AD77" i="29"/>
  <c r="BN64" i="29"/>
  <c r="BA64" i="29"/>
  <c r="AO64" i="29"/>
  <c r="AD64" i="29"/>
  <c r="S64" i="29"/>
  <c r="H64" i="29"/>
  <c r="BN50" i="29"/>
  <c r="BA50" i="29"/>
  <c r="AO50" i="29"/>
  <c r="AD50" i="29"/>
  <c r="S50" i="29"/>
  <c r="H50" i="29"/>
  <c r="BN34" i="29"/>
  <c r="BA34" i="29"/>
  <c r="AO34" i="29"/>
  <c r="AD34" i="29"/>
  <c r="S34" i="29"/>
  <c r="H34" i="29"/>
  <c r="BN20" i="29"/>
  <c r="BA20" i="29"/>
  <c r="AO20" i="29"/>
  <c r="AD20" i="29"/>
  <c r="S20" i="29"/>
  <c r="H20" i="29"/>
  <c r="BP96" i="28"/>
  <c r="BB96" i="28"/>
  <c r="AN96" i="28"/>
  <c r="Z96" i="28"/>
  <c r="L96" i="28"/>
  <c r="BP95" i="28"/>
  <c r="BB95" i="28"/>
  <c r="AN95" i="28"/>
  <c r="BP82" i="28"/>
  <c r="BB82" i="28"/>
  <c r="AN82" i="28"/>
  <c r="Z82" i="28"/>
  <c r="L82" i="28"/>
  <c r="I82" i="28"/>
  <c r="BB81" i="28"/>
  <c r="AN81" i="28"/>
  <c r="Z81" i="28"/>
  <c r="BM68" i="28"/>
  <c r="AY68" i="28"/>
  <c r="AK68" i="28"/>
  <c r="AY67" i="28"/>
  <c r="BM54" i="28"/>
  <c r="AY54" i="28"/>
  <c r="AK54" i="28"/>
  <c r="Z54" i="28"/>
  <c r="L54" i="28"/>
  <c r="AK53" i="28"/>
  <c r="BP38" i="28"/>
  <c r="BB38" i="28"/>
  <c r="AY38" i="28"/>
  <c r="AN38" i="28"/>
  <c r="Z38" i="28"/>
  <c r="L38" i="28"/>
  <c r="BB37" i="28"/>
  <c r="AY37" i="28"/>
  <c r="BP22" i="28"/>
  <c r="BB22" i="28"/>
  <c r="AN22" i="28"/>
  <c r="Z22" i="28"/>
  <c r="L22" i="28"/>
  <c r="BB21" i="28"/>
  <c r="AN21" i="28"/>
  <c r="Z21" i="28"/>
  <c r="L21" i="28"/>
  <c r="BB20" i="28"/>
  <c r="L20" i="28"/>
  <c r="BM95" i="27"/>
  <c r="AO95" i="27"/>
  <c r="T95" i="27"/>
  <c r="BM77" i="27"/>
  <c r="AQ77" i="27"/>
  <c r="T77" i="27"/>
  <c r="BM59" i="27"/>
  <c r="AV59" i="27"/>
  <c r="AE59" i="27"/>
  <c r="N59" i="27"/>
  <c r="AV58" i="27"/>
  <c r="AE58" i="27"/>
  <c r="N58" i="27"/>
  <c r="AV57" i="27"/>
  <c r="AE57" i="27"/>
  <c r="N57" i="27"/>
  <c r="BM42" i="27"/>
  <c r="AE42" i="27"/>
  <c r="N42" i="27"/>
  <c r="K42" i="27"/>
  <c r="BM41" i="27"/>
  <c r="AE41" i="27"/>
  <c r="N41" i="27"/>
  <c r="K41" i="27"/>
  <c r="N40" i="27"/>
  <c r="K40" i="27"/>
  <c r="BM25" i="27"/>
  <c r="AV25" i="27"/>
  <c r="AE25" i="27"/>
  <c r="N25" i="27"/>
  <c r="BM24" i="27"/>
  <c r="AV24" i="27"/>
  <c r="BJ90" i="25"/>
  <c r="AT90" i="25"/>
  <c r="AD90" i="25"/>
  <c r="N90" i="25"/>
  <c r="AD89" i="25"/>
  <c r="BJ76" i="25"/>
  <c r="AT76" i="25"/>
  <c r="AD76" i="25"/>
  <c r="N76" i="25"/>
  <c r="AT75" i="25"/>
  <c r="AD75" i="25"/>
  <c r="BJ62" i="25"/>
  <c r="AT62" i="25"/>
  <c r="AD62" i="25"/>
  <c r="N62" i="25"/>
  <c r="AD61" i="25"/>
  <c r="BJ48" i="25"/>
  <c r="AD48" i="25"/>
  <c r="N48" i="25"/>
  <c r="AT47" i="25"/>
  <c r="BJ34" i="25"/>
  <c r="AT34" i="25"/>
  <c r="AD34" i="25"/>
  <c r="N34" i="25"/>
  <c r="BJ20" i="25"/>
  <c r="AT20" i="25"/>
  <c r="AD20" i="25"/>
  <c r="N20" i="25"/>
  <c r="BP97" i="24"/>
  <c r="BB97" i="24"/>
  <c r="AN97" i="24"/>
  <c r="Z97" i="24"/>
  <c r="L97" i="24"/>
  <c r="BP96" i="24"/>
  <c r="BB96" i="24"/>
  <c r="BP83" i="24"/>
  <c r="BB83" i="24"/>
  <c r="AN83" i="24"/>
  <c r="Z83" i="24"/>
  <c r="L83" i="24"/>
  <c r="BP82" i="24"/>
  <c r="Z82" i="24"/>
  <c r="BP69" i="24"/>
  <c r="BB69" i="24"/>
  <c r="AN69" i="24"/>
  <c r="Z69" i="24"/>
  <c r="L69" i="24"/>
  <c r="AN68" i="24"/>
  <c r="Z68" i="24"/>
  <c r="L68" i="24"/>
  <c r="L67" i="24"/>
  <c r="BP55" i="24"/>
  <c r="BB55" i="24"/>
  <c r="AN55" i="24"/>
  <c r="Z55" i="24"/>
  <c r="L55" i="24"/>
  <c r="BP39" i="24"/>
  <c r="BB39" i="24"/>
  <c r="AN39" i="24"/>
  <c r="Z39" i="24"/>
  <c r="L39" i="24"/>
  <c r="BP23" i="24"/>
  <c r="BB23" i="24"/>
  <c r="AN23" i="24"/>
  <c r="Z23" i="24"/>
  <c r="L23" i="24"/>
</calcChain>
</file>

<file path=xl/sharedStrings.xml><?xml version="1.0" encoding="utf-8"?>
<sst xmlns="http://schemas.openxmlformats.org/spreadsheetml/2006/main" count="1002" uniqueCount="793">
  <si>
    <t>Вернутся к 
оглавлению</t>
  </si>
  <si>
    <t>г.Чита, Анохина 93, ТЦ "PLAZA"</t>
  </si>
  <si>
    <t>сайт: www.furnizab.ru</t>
  </si>
  <si>
    <t>e-mail: mail@furnizab.ru</t>
  </si>
  <si>
    <t>ПРАЙС-ЛИСТ НЕ ЯВЛЯЕТСЯ ОФЕРТОЙ И НОСИТ ИНФОРМАЦИОННЫЙ ХАРАКТЕР</t>
  </si>
  <si>
    <t>Пластик</t>
  </si>
  <si>
    <t>Стол</t>
  </si>
  <si>
    <t>По умолчанию цвет ЛДСП Бук светлый, доступны следующие цвета:</t>
  </si>
  <si>
    <t>Цветная кромка доступна бесплатно</t>
  </si>
  <si>
    <t>Тумба</t>
  </si>
  <si>
    <t>Полка навесная</t>
  </si>
  <si>
    <t>угловой</t>
  </si>
  <si>
    <t>Если Вы не нашли нужный товар, то Вы можете обратиться к нам с Вашими пожеланиями, и мы постараемся Вам помочь в кратчайшие сроки.</t>
  </si>
  <si>
    <t>тел:+7 (914) 443-43-97 
тел:+7 (914) 433-43-97</t>
  </si>
  <si>
    <t>г.Чита, Анохина 93, ТЦ "PLAZA", офис 27  |  сайт: www.furnizab.ru  |  e-mail: mail@furnizab.ru  |  тел:+7 (914) 443-43-97, +7 (914) 433-43-97</t>
  </si>
  <si>
    <t>Модульная мебель для дошкольных учреждений №1</t>
  </si>
  <si>
    <t>При комбинации цветов (красный, желтый, синий, зеленый) фасадной части изделия цена увеличивается на 20%</t>
  </si>
  <si>
    <t>И.дт.1</t>
  </si>
  <si>
    <t>И.дт.2</t>
  </si>
  <si>
    <t>И.дт.3</t>
  </si>
  <si>
    <t>И.дт.4</t>
  </si>
  <si>
    <t>И.дт.5</t>
  </si>
  <si>
    <t>400х400х620</t>
  </si>
  <si>
    <t>И.дт.6</t>
  </si>
  <si>
    <t>И.дт.7</t>
  </si>
  <si>
    <t>И.дт.8</t>
  </si>
  <si>
    <t>И.дт.9</t>
  </si>
  <si>
    <t>И.дт.10</t>
  </si>
  <si>
    <t>Стол - тумба</t>
  </si>
  <si>
    <t>800х400х620</t>
  </si>
  <si>
    <t>И.дт.11</t>
  </si>
  <si>
    <t>И.дт.12</t>
  </si>
  <si>
    <t>И.дт.13</t>
  </si>
  <si>
    <t>И.дт.14</t>
  </si>
  <si>
    <t>И.дт.15</t>
  </si>
  <si>
    <t>Стол-тумба удлиненная</t>
  </si>
  <si>
    <t>двусторонняя</t>
  </si>
  <si>
    <t>1000х400х620</t>
  </si>
  <si>
    <t>И.дт.16</t>
  </si>
  <si>
    <t>И.дт.17</t>
  </si>
  <si>
    <t>И.дт.18</t>
  </si>
  <si>
    <t>И.дт.19</t>
  </si>
  <si>
    <t>И.дт.20</t>
  </si>
  <si>
    <t>Подходит к И.дт.6</t>
  </si>
  <si>
    <t>400х400х420</t>
  </si>
  <si>
    <t>800х400х420</t>
  </si>
  <si>
    <t>340х360х420</t>
  </si>
  <si>
    <t>Стол мобильный</t>
  </si>
  <si>
    <t>Тумба мобильная</t>
  </si>
  <si>
    <t>1200х400х420</t>
  </si>
  <si>
    <t>840х400х420</t>
  </si>
  <si>
    <t>740х360х420</t>
  </si>
  <si>
    <t>740х360х560</t>
  </si>
  <si>
    <t>740х360х577</t>
  </si>
  <si>
    <t>И.дт.21</t>
  </si>
  <si>
    <t>И.дт.22</t>
  </si>
  <si>
    <t>И.дт.23</t>
  </si>
  <si>
    <t>И.дт.24</t>
  </si>
  <si>
    <t>Я.дт.1</t>
  </si>
  <si>
    <t>Подходит к И.дт.6 и Р.3</t>
  </si>
  <si>
    <t>Подходит к И.дт.6 / 7</t>
  </si>
  <si>
    <t>Подходит к И.дт.6/7/16/19 и Р.3</t>
  </si>
  <si>
    <t>Тумба мобильная низкая</t>
  </si>
  <si>
    <t>Ящик для игрушек</t>
  </si>
  <si>
    <t>948х400х343 1-сторонняя</t>
  </si>
  <si>
    <t>Тумба угловая</t>
  </si>
  <si>
    <t>360х380х380</t>
  </si>
  <si>
    <t>948х656х343 2-сторонняя</t>
  </si>
  <si>
    <t>730х450х620</t>
  </si>
  <si>
    <t>748х380х380</t>
  </si>
  <si>
    <t>Я.2</t>
  </si>
  <si>
    <t>Я.3</t>
  </si>
  <si>
    <t>Н.дт.1</t>
  </si>
  <si>
    <t>Н.дт.2</t>
  </si>
  <si>
    <t>Платформы мобильные</t>
  </si>
  <si>
    <t>Надставка на тумбу</t>
  </si>
  <si>
    <t>Платформа мобильная для игрушек</t>
  </si>
  <si>
    <t>для лего/песка (2шт.)</t>
  </si>
  <si>
    <t>400х160х600</t>
  </si>
  <si>
    <t>800х160х300</t>
  </si>
  <si>
    <t>740х360х300</t>
  </si>
  <si>
    <t>740х360х480</t>
  </si>
  <si>
    <t>800х160х600</t>
  </si>
  <si>
    <t>600х160х600</t>
  </si>
  <si>
    <t>Модульная мебель для дошкольных учреждений №2</t>
  </si>
  <si>
    <t>Р.1</t>
  </si>
  <si>
    <t>Левый \ Правый</t>
  </si>
  <si>
    <t>Р.2</t>
  </si>
  <si>
    <t>Р.3</t>
  </si>
  <si>
    <t>Левый</t>
  </si>
  <si>
    <t>Уголок для развивающей деятельности</t>
  </si>
  <si>
    <t>Комплект</t>
  </si>
  <si>
    <t>Полка над ящиками выдвижная</t>
  </si>
  <si>
    <t>И.дт.11 + И.дт.23 (2шт) + Н.дт.1 (2шт)</t>
  </si>
  <si>
    <t>1208х400/600х1444/750</t>
  </si>
  <si>
    <t>1430х400х620</t>
  </si>
  <si>
    <t>1200х400х620/670</t>
  </si>
  <si>
    <t>1600х400х620/1200</t>
  </si>
  <si>
    <t>И.дт.6 + песок-вода</t>
  </si>
  <si>
    <t>И.дт.6 + И.дт.21</t>
  </si>
  <si>
    <t>И.дт.7 + И.дт.18</t>
  </si>
  <si>
    <t>И.дт.6 + Я.3</t>
  </si>
  <si>
    <t>И.дт.6 + И.дт.19 + И.дт.18 + Н.дт.2</t>
  </si>
  <si>
    <t>И.дт.7 + Я.дт.1</t>
  </si>
  <si>
    <t>И.дт.2 + Я.дт.1</t>
  </si>
  <si>
    <t>800х400х620/1220 Комплект</t>
  </si>
  <si>
    <t>Н.дт.3 + И.дт.16 (1200/400) + Я.дт.1</t>
  </si>
  <si>
    <t>850х400х270/400 Кушетка</t>
  </si>
  <si>
    <t>м</t>
  </si>
  <si>
    <t>Макетница</t>
  </si>
  <si>
    <t>"Театр 1"</t>
  </si>
  <si>
    <t>"Театр 2"</t>
  </si>
  <si>
    <t>Комплект (1 секция)</t>
  </si>
  <si>
    <t>Тумба для макетов</t>
  </si>
  <si>
    <t>Театральный подиум</t>
  </si>
  <si>
    <t>Театральный подиум угловой</t>
  </si>
  <si>
    <t>Н.дт.3 + И.дт.16 + Я.дт.1</t>
  </si>
  <si>
    <t>800х400х620 (2ящика)</t>
  </si>
  <si>
    <t>с 2мя выкатными ящиками</t>
  </si>
  <si>
    <t>с выкатным ящиком</t>
  </si>
  <si>
    <t>800х400/160х420/1020</t>
  </si>
  <si>
    <t>800х400х620 (3 ящика)</t>
  </si>
  <si>
    <t>1200х800х400</t>
  </si>
  <si>
    <t>1000х1000х400</t>
  </si>
  <si>
    <t>"Кухня 1"</t>
  </si>
  <si>
    <t>"Кухня 2"</t>
  </si>
  <si>
    <t>"ИЗО 1"</t>
  </si>
  <si>
    <t>"ИЗО 2"</t>
  </si>
  <si>
    <t>Модуль игровой</t>
  </si>
  <si>
    <t>Творческий уголок</t>
  </si>
  <si>
    <t>Кухня                    1200х340х1000</t>
  </si>
  <si>
    <t>1100х600х580                     Стол</t>
  </si>
  <si>
    <t>1200х340х1000</t>
  </si>
  <si>
    <t>Приставка             700х300х1000</t>
  </si>
  <si>
    <t>600х160х600                     Н.дт.2</t>
  </si>
  <si>
    <t>1200*600*580</t>
  </si>
  <si>
    <t>"Библиотека 1"</t>
  </si>
  <si>
    <t>"Библиотека 2"</t>
  </si>
  <si>
    <t>"Библиотека 3"</t>
  </si>
  <si>
    <t>"Уголок ряжения"</t>
  </si>
  <si>
    <t>Надставка для книг</t>
  </si>
  <si>
    <t>Тумба для книг мобильная</t>
  </si>
  <si>
    <t>Стеллаж для книг</t>
  </si>
  <si>
    <t>468х350х500</t>
  </si>
  <si>
    <t>2-сторонняя</t>
  </si>
  <si>
    <t>800х400х816</t>
  </si>
  <si>
    <t>800х350х500</t>
  </si>
  <si>
    <t>800х400х1400</t>
  </si>
  <si>
    <t>"Грузовичок"</t>
  </si>
  <si>
    <t>"Лайнер"</t>
  </si>
  <si>
    <t>"Светофор"</t>
  </si>
  <si>
    <t>"Домик для кукол"</t>
  </si>
  <si>
    <t>Стеллаж для игрушек</t>
  </si>
  <si>
    <t>Круги цветные в цвет свотофора</t>
  </si>
  <si>
    <t>Стеллажи на регулируемых опорах</t>
  </si>
  <si>
    <t>Стеллаж для игрушек и ролевой игры</t>
  </si>
  <si>
    <t>1200х400х1300</t>
  </si>
  <si>
    <t>1200х400х1170</t>
  </si>
  <si>
    <t>2438х400х752</t>
  </si>
  <si>
    <t>3884х400х1225</t>
  </si>
  <si>
    <t>1400х400х1300</t>
  </si>
  <si>
    <t>1200х400х1510</t>
  </si>
  <si>
    <t>"Лесенка 1"</t>
  </si>
  <si>
    <t>"Лесенка 2"</t>
  </si>
  <si>
    <t>10 ячеек</t>
  </si>
  <si>
    <t>6 ячеек</t>
  </si>
  <si>
    <t>Стеллаж для игрушек \ пособий</t>
  </si>
  <si>
    <t>подходит к Лесенка и Домино</t>
  </si>
  <si>
    <t>прямой</t>
  </si>
  <si>
    <t>Стеллаж 2-сторон</t>
  </si>
  <si>
    <t>400х400х752 (2 ячейки)</t>
  </si>
  <si>
    <t>игрушек \ пособий</t>
  </si>
  <si>
    <t>400х400х1100 (3 ячейки)</t>
  </si>
  <si>
    <t>1054х400х1100 (6 ячеек)</t>
  </si>
  <si>
    <t>1054х400х1100 (4 ячеек)</t>
  </si>
  <si>
    <t>400х400х1444 (4 ячейки)</t>
  </si>
  <si>
    <t>1400х400х1444 (10 ячеек)</t>
  </si>
  <si>
    <t>1400х400х1444 (8 ячеек)</t>
  </si>
  <si>
    <t>"Домино 1"</t>
  </si>
  <si>
    <t>"Домино 2"</t>
  </si>
  <si>
    <t>"Домино 3"</t>
  </si>
  <si>
    <t>"Крепость"</t>
  </si>
  <si>
    <t>Стеллаж 2-стор для игрушек \ пособий</t>
  </si>
  <si>
    <t>708х400х752 (4 ячейки)</t>
  </si>
  <si>
    <t>708х400х752 (2 ячейки)</t>
  </si>
  <si>
    <t>708х400х1100 (6 ячеек)</t>
  </si>
  <si>
    <t>708х400х1100 (4 ячейки)</t>
  </si>
  <si>
    <t>Стенка для игрушек \ пособий</t>
  </si>
  <si>
    <t>708х400х1444 (8 ячеек)</t>
  </si>
  <si>
    <t>708х400х1444 (6 ячеек)</t>
  </si>
  <si>
    <t>708х400х1444 (8 ячейки)</t>
  </si>
  <si>
    <t>1800х400х1480</t>
  </si>
  <si>
    <t>"Замок"</t>
  </si>
  <si>
    <t>"Бабочка"</t>
  </si>
  <si>
    <t>"Каскад"</t>
  </si>
  <si>
    <t>2368х400х1700</t>
  </si>
  <si>
    <t>2196х400х1400</t>
  </si>
  <si>
    <t>1976х400х1230</t>
  </si>
  <si>
    <t>"Дом"</t>
  </si>
  <si>
    <t>"Деревенька"</t>
  </si>
  <si>
    <t>"Городок"</t>
  </si>
  <si>
    <t>3152х400х1340</t>
  </si>
  <si>
    <t>3400х400х1360</t>
  </si>
  <si>
    <t>2015/2015х380х1120</t>
  </si>
  <si>
    <t>Мебель для дошкольных учреждений №1</t>
  </si>
  <si>
    <t>К.1</t>
  </si>
  <si>
    <t>К.1.1</t>
  </si>
  <si>
    <t>К.1.2</t>
  </si>
  <si>
    <t>К.2</t>
  </si>
  <si>
    <t>Металлокаркас</t>
  </si>
  <si>
    <t>К.3</t>
  </si>
  <si>
    <t>Кровать детская ЛДСП</t>
  </si>
  <si>
    <t>Металлокаркас цельносварной</t>
  </si>
  <si>
    <t>Ложе: ДВП на ламелях из ЛДСП</t>
  </si>
  <si>
    <t>1200х640х510</t>
  </si>
  <si>
    <t>Кровать детская 2х уровневая</t>
  </si>
  <si>
    <t>1400х640х510</t>
  </si>
  <si>
    <t>1200х1248х510</t>
  </si>
  <si>
    <t>1600х640х510</t>
  </si>
  <si>
    <t>1400х1248х511</t>
  </si>
  <si>
    <t>1460х640х510</t>
  </si>
  <si>
    <t>К.4</t>
  </si>
  <si>
    <t>К.5</t>
  </si>
  <si>
    <t>К.6</t>
  </si>
  <si>
    <t>Ш.Г.1</t>
  </si>
  <si>
    <t>16 или 25 ячеек</t>
  </si>
  <si>
    <t>В.дт.1</t>
  </si>
  <si>
    <t>Кровать детская 3х уровневая</t>
  </si>
  <si>
    <t>Шкаф для горшков</t>
  </si>
  <si>
    <t>С тумбой</t>
  </si>
  <si>
    <t>С надставкой</t>
  </si>
  <si>
    <t>для обуви</t>
  </si>
  <si>
    <t>ЛДСП</t>
  </si>
  <si>
    <t>1080х320х1010</t>
  </si>
  <si>
    <t>Вешалка настенная для полотенец</t>
  </si>
  <si>
    <t>1462х640х750</t>
  </si>
  <si>
    <t>1512х640х852</t>
  </si>
  <si>
    <t>1512х640х852\1756</t>
  </si>
  <si>
    <t>1296х320х1226</t>
  </si>
  <si>
    <t>750х160х780</t>
  </si>
  <si>
    <t>В.дт.2</t>
  </si>
  <si>
    <t>В.дт.3</t>
  </si>
  <si>
    <t>С.дт.1</t>
  </si>
  <si>
    <t>С.дт.2</t>
  </si>
  <si>
    <t>С.дт.6</t>
  </si>
  <si>
    <t>Стол (металлокаркас</t>
  </si>
  <si>
    <t>Вешалка для полотенец</t>
  </si>
  <si>
    <t>цельносварной)</t>
  </si>
  <si>
    <t>Напольная, 2х сторонняя</t>
  </si>
  <si>
    <t>Напольная, 1-сторонняя</t>
  </si>
  <si>
    <t>700х700х№</t>
  </si>
  <si>
    <t>750х300х950</t>
  </si>
  <si>
    <t>750х160х950</t>
  </si>
  <si>
    <t>900х900х№</t>
  </si>
  <si>
    <t>1000х500х№</t>
  </si>
  <si>
    <t>Стул детский массив СД сиденье и спинка массив</t>
  </si>
  <si>
    <t>Стул регулируемый массив СДРег сид и спн массив</t>
  </si>
  <si>
    <t>С.дт.6.1 (р)</t>
  </si>
  <si>
    <t>С.дт.8</t>
  </si>
  <si>
    <t>С.дт.9</t>
  </si>
  <si>
    <t>Ростовая группа №00 Н180</t>
  </si>
  <si>
    <t>Ростовая группа №0 Н220</t>
  </si>
  <si>
    <t>Ростовая группа №1 Н260</t>
  </si>
  <si>
    <t>Н220-260 №0-1</t>
  </si>
  <si>
    <t>Стол растущий, с ящиками</t>
  </si>
  <si>
    <t>Стол растущий</t>
  </si>
  <si>
    <t>Стол - трапеция растущий</t>
  </si>
  <si>
    <t>Ростовая группа №2 Н300</t>
  </si>
  <si>
    <t>Н260-300 №1-2</t>
  </si>
  <si>
    <t>Ростовая группа №3 Н340</t>
  </si>
  <si>
    <t>Н300-340 №2-3</t>
  </si>
  <si>
    <t>С.дт.10</t>
  </si>
  <si>
    <t>РОМАШКА</t>
  </si>
  <si>
    <t>Т.дт.2.2</t>
  </si>
  <si>
    <t>Стул детский</t>
  </si>
  <si>
    <t>Т.дт.1</t>
  </si>
  <si>
    <t>Т.дт.2</t>
  </si>
  <si>
    <t>Пл</t>
  </si>
  <si>
    <t>Кругл труба д18мм, фанера 15мм</t>
  </si>
  <si>
    <t>Стол растущий комплект -5шт</t>
  </si>
  <si>
    <t>Растущий №1-3</t>
  </si>
  <si>
    <t>№00</t>
  </si>
  <si>
    <t>№0</t>
  </si>
  <si>
    <t>№1</t>
  </si>
  <si>
    <t>№2</t>
  </si>
  <si>
    <t>№3</t>
  </si>
  <si>
    <t>комплект - 5 шт.</t>
  </si>
  <si>
    <t>шт.</t>
  </si>
  <si>
    <t>компл.</t>
  </si>
  <si>
    <t>Фанера</t>
  </si>
  <si>
    <t>Стол пеленальный</t>
  </si>
  <si>
    <t>700х540х№</t>
  </si>
  <si>
    <t>Цветное ЛДСП</t>
  </si>
  <si>
    <t>756х604х820</t>
  </si>
  <si>
    <t>"Знайка 1"</t>
  </si>
  <si>
    <t>"Знайка 2"</t>
  </si>
  <si>
    <t>П.дт.1</t>
  </si>
  <si>
    <t>П.дт.2</t>
  </si>
  <si>
    <t>Светофор</t>
  </si>
  <si>
    <t>П.дт.3</t>
  </si>
  <si>
    <t>Полка - выставка</t>
  </si>
  <si>
    <t>904х160х608 (3 ячейки)</t>
  </si>
  <si>
    <t>640х160х610</t>
  </si>
  <si>
    <t>Домик 320х160х500</t>
  </si>
  <si>
    <t>800х160х1200</t>
  </si>
  <si>
    <t>800х480х800</t>
  </si>
  <si>
    <t>904х160х608 (4 ячейки)</t>
  </si>
  <si>
    <t>Светофор: 480х160х920</t>
  </si>
  <si>
    <t>Куб 270х160х270</t>
  </si>
  <si>
    <t>Мебель для дошкольных учреждений №2</t>
  </si>
  <si>
    <t>Цена на Шкафы для одежды указана с учетом детских скамеек</t>
  </si>
  <si>
    <t>Ш.дт.1</t>
  </si>
  <si>
    <t>Ш.дт.2</t>
  </si>
  <si>
    <t>Ш.дт.3</t>
  </si>
  <si>
    <t>Ш.дт.4</t>
  </si>
  <si>
    <t>Ш.дт.5</t>
  </si>
  <si>
    <t>Ш.дт.6</t>
  </si>
  <si>
    <t>Шкаф 1-местный</t>
  </si>
  <si>
    <t>Шкаф 2-местный</t>
  </si>
  <si>
    <t>Шкаф 3-местный</t>
  </si>
  <si>
    <t>Шкаф 4-местный</t>
  </si>
  <si>
    <t>Шкаф 5-местный</t>
  </si>
  <si>
    <t>Шкаф 6-местный</t>
  </si>
  <si>
    <t>332х330х1400</t>
  </si>
  <si>
    <t>648х330х1400</t>
  </si>
  <si>
    <t>964х330х1400</t>
  </si>
  <si>
    <t>1280х330х1400</t>
  </si>
  <si>
    <t>1596х330х1400</t>
  </si>
  <si>
    <t>1912х330х1400</t>
  </si>
  <si>
    <t>Ш.дт.1.1</t>
  </si>
  <si>
    <t>Ш.дт.2.1</t>
  </si>
  <si>
    <t>Ш.дт.3.1</t>
  </si>
  <si>
    <t>Ш.дт.4.1</t>
  </si>
  <si>
    <t>Ш.дт.5.1</t>
  </si>
  <si>
    <t>Ш.дт.6.1</t>
  </si>
  <si>
    <t>Высота металлокаркаса 230мм (высота от пола до каркаса 205мм)</t>
  </si>
  <si>
    <t>Ш.дт.1(м)</t>
  </si>
  <si>
    <t>Ш.дт.2(м)</t>
  </si>
  <si>
    <t>Ш.дт.3(м)</t>
  </si>
  <si>
    <t>Ш.дт.4(м)</t>
  </si>
  <si>
    <t>Ш.дт.5(м)</t>
  </si>
  <si>
    <t>Ш.дт.6(м)</t>
  </si>
  <si>
    <t>металлокаркас</t>
  </si>
  <si>
    <t>Ш.дт.1.1(м)</t>
  </si>
  <si>
    <t>Ш.дт.2.1(м)</t>
  </si>
  <si>
    <t>Ш.дт.3.1(м)</t>
  </si>
  <si>
    <t>Ш.дт.4.1(м)</t>
  </si>
  <si>
    <t>Ш.дт.5.1(м)</t>
  </si>
  <si>
    <t>Ш.дт.6.1(м)</t>
  </si>
  <si>
    <t>Об.1</t>
  </si>
  <si>
    <t>Об.2</t>
  </si>
  <si>
    <t>Об.3</t>
  </si>
  <si>
    <t>Ш.х.1</t>
  </si>
  <si>
    <t>Ш.Х.2</t>
  </si>
  <si>
    <t>Ш.бл.1</t>
  </si>
  <si>
    <t>Об.1.1</t>
  </si>
  <si>
    <t>Тумба для обуви</t>
  </si>
  <si>
    <t>874х250х632</t>
  </si>
  <si>
    <t>Шкаф для хоз. инвентаря</t>
  </si>
  <si>
    <t>Шкаф для белья</t>
  </si>
  <si>
    <t>1000х250х760</t>
  </si>
  <si>
    <t>2618 / 3116</t>
  </si>
  <si>
    <t>1000х280х846</t>
  </si>
  <si>
    <t>874х250х1204</t>
  </si>
  <si>
    <t>800х400х2000</t>
  </si>
  <si>
    <t>1350х400х1350</t>
  </si>
  <si>
    <t>Т.дт.3</t>
  </si>
  <si>
    <t>Т.дт.4</t>
  </si>
  <si>
    <t>Т.дт.5</t>
  </si>
  <si>
    <t>"Олимпиец 1"</t>
  </si>
  <si>
    <t>"Олимпиец 2"</t>
  </si>
  <si>
    <t>"Олимпиец 3"</t>
  </si>
  <si>
    <t>Скамья детская</t>
  </si>
  <si>
    <t>250х250х200</t>
  </si>
  <si>
    <t>Скамья для раздевалки</t>
  </si>
  <si>
    <t>500х250х200</t>
  </si>
  <si>
    <t>2х сторонняя</t>
  </si>
  <si>
    <t>Скамья с тумбой под обувь</t>
  </si>
  <si>
    <t>Уголок для спортинвентаря</t>
  </si>
  <si>
    <t>850х250х200</t>
  </si>
  <si>
    <t>1100х500х400</t>
  </si>
  <si>
    <t>1100х240х300</t>
  </si>
  <si>
    <t>400х400х1100</t>
  </si>
  <si>
    <t>1100х340х1100</t>
  </si>
  <si>
    <t>1200*434*1158</t>
  </si>
  <si>
    <t>г.Чита, Анохина 93, ТЦ "PLAZA", офис 27  |  сайт: www.furnizab.ru
 e-mail: mail@furnizab.ru  |  тел:+7 (914) 443-43-97, +7 (914) 433-43-97</t>
  </si>
  <si>
    <t xml:space="preserve">           Стеллажи для игрушек</t>
  </si>
  <si>
    <t>1. Мебель для дошкольных учреждений №1</t>
  </si>
  <si>
    <t>3.Стеллажи для игрушек</t>
  </si>
  <si>
    <t>5. Модульная мебель для дошкольных учреждений №2</t>
  </si>
  <si>
    <t>4. Модульная мебель для дошкольных учреждений №1</t>
  </si>
  <si>
    <t>Код</t>
  </si>
  <si>
    <t>Фото</t>
  </si>
  <si>
    <t>Название/Характеристики</t>
  </si>
  <si>
    <t>Цена (руб.)*</t>
  </si>
  <si>
    <t>Н = 180 - 19534
Н = 220 - 17112
Н = 260 - 17368
Н = 300 - 17370
Н = 340 - 17369</t>
  </si>
  <si>
    <t>Стул Малыш. Материал: Массив, фанера. Размеры: Н=180-220-260-300-340 мм.</t>
  </si>
  <si>
    <r>
      <rPr>
        <b/>
        <sz val="11"/>
        <color theme="1"/>
        <rFont val="Times New Roman"/>
        <family val="1"/>
        <charset val="204"/>
      </rPr>
      <t xml:space="preserve">Высота 180 мм:
</t>
    </r>
    <r>
      <rPr>
        <sz val="11"/>
        <color theme="1"/>
        <rFont val="Times New Roman"/>
        <family val="1"/>
        <charset val="204"/>
      </rPr>
      <t>голубой - 58159
желтый - 58160 
манго - 57821
розовый - 58161
салатовый - 58162</t>
    </r>
    <r>
      <rPr>
        <b/>
        <sz val="11"/>
        <color theme="1"/>
        <rFont val="Times New Roman"/>
        <family val="1"/>
        <charset val="204"/>
      </rPr>
      <t xml:space="preserve">
Высота 220 мм:</t>
    </r>
    <r>
      <rPr>
        <sz val="11"/>
        <color theme="1"/>
        <rFont val="Times New Roman"/>
        <family val="1"/>
        <charset val="204"/>
      </rPr>
      <t xml:space="preserve">
голубой - 47479
желтый - 47483
манго - 40517
розовый - 47480
салатовый - 47481
</t>
    </r>
    <r>
      <rPr>
        <b/>
        <sz val="11"/>
        <color theme="1"/>
        <rFont val="Times New Roman"/>
        <family val="1"/>
        <charset val="204"/>
      </rPr>
      <t>Высота 260 мм:</t>
    </r>
    <r>
      <rPr>
        <sz val="11"/>
        <color theme="1"/>
        <rFont val="Times New Roman"/>
        <family val="1"/>
        <charset val="204"/>
      </rPr>
      <t xml:space="preserve">
голубой - 47484
желтый - 47670
манго - 58157
розовый - 47673
салатовый - 47671
</t>
    </r>
    <r>
      <rPr>
        <b/>
        <sz val="11"/>
        <color theme="1"/>
        <rFont val="Times New Roman"/>
        <family val="1"/>
        <charset val="204"/>
      </rPr>
      <t>Высота 300 мм:</t>
    </r>
    <r>
      <rPr>
        <sz val="11"/>
        <color theme="1"/>
        <rFont val="Times New Roman"/>
        <family val="1"/>
        <charset val="204"/>
      </rPr>
      <t xml:space="preserve">
голубой - 47672
желтый - 50912
манго - 50911
розовый - 58154
салатовый - 47482
</t>
    </r>
    <r>
      <rPr>
        <b/>
        <sz val="11"/>
        <color theme="1"/>
        <rFont val="Times New Roman"/>
        <family val="1"/>
        <charset val="204"/>
      </rPr>
      <t>Высота 340 мм:</t>
    </r>
    <r>
      <rPr>
        <sz val="11"/>
        <color theme="1"/>
        <rFont val="Times New Roman"/>
        <family val="1"/>
        <charset val="204"/>
      </rPr>
      <t xml:space="preserve">
голубой - 58155
желтый - 50910
манго - 43881
розовый - 58156
салатовый - 50909</t>
    </r>
  </si>
  <si>
    <t>Стул Малыш (цветной: голубой, розовый, светло-желтый, светло-зеленый). Размеры: Н=180-220-260-300-340 мм. Материал: каркас сосна, сидение и спинка МДФ.</t>
  </si>
  <si>
    <t>Н = 180 - 47073
Н = 220 - 27528
Н = 260 - 24596
Н = 300 - 23787
Н = 340 - 24721</t>
  </si>
  <si>
    <t>Стул Малыш с росписью - хохлома. Материал: Массив, фанера. Размеры: Н=180-220-260-300-340 мм.</t>
  </si>
  <si>
    <t>Н = 180 - 24437
Н = 220 - 40504
Н = 260 - 25953
Н = 300 - 25173
Н = 340 - 33328</t>
  </si>
  <si>
    <t>Стул Малыш с росписью - гжель. Материал: Массив, фанера. Размеры: Н=180-220-260-300-340 мм.</t>
  </si>
  <si>
    <t>Н = 180 - 33301
Н = 220 - 24438
Н = 260 - 25954
Н = 300 - 25174
Н = 340 - 27472</t>
  </si>
  <si>
    <t>Стул Малыш с росписью - клубничка. Материал: Массив, фанера. Размеры: Н=180-220-260-300-340 мм.</t>
  </si>
  <si>
    <t>Н = 180 - 33302
Н = 220 - 47075
Н = 260 - 25955
Н = 300 - 25170
Н = 340 - 35777</t>
  </si>
  <si>
    <t>Стул Малыш, Пчелки
Материал: Массив, фанера. Размеры: Н=180-220-260-300-340 мм.</t>
  </si>
  <si>
    <t>Н = 180 - 47076
Н = 220 - 40561
Н = 260 - 25956
Н = 300 - 25171
Н = 304 - 58163</t>
  </si>
  <si>
    <t>Стул Малыш, Жарптица
Материал: Массив, фанера. Размеры: Н=180-220-260-300-340 мм.</t>
  </si>
  <si>
    <t>Н = 180 - 48679
Н = 260 - 25957
Н = 300 - 27409
Н = 340 - 51563</t>
  </si>
  <si>
    <t>Стул Малыш, Филин
Материал: Массив каркас, фанера сидушка и спинка.
Размеры: Высота=180-220-260-300-340 мм.</t>
  </si>
  <si>
    <r>
      <rPr>
        <b/>
        <i/>
        <sz val="10"/>
        <color theme="1"/>
        <rFont val="Times New Roman"/>
        <family val="1"/>
        <charset val="204"/>
      </rPr>
      <t>Высота 220 мм:</t>
    </r>
    <r>
      <rPr>
        <sz val="10"/>
        <color theme="1"/>
        <rFont val="Times New Roman"/>
        <family val="1"/>
        <charset val="204"/>
      </rPr>
      <t xml:space="preserve">
Желтый - 53979
</t>
    </r>
    <r>
      <rPr>
        <b/>
        <i/>
        <sz val="10"/>
        <color theme="1"/>
        <rFont val="Times New Roman"/>
        <family val="1"/>
        <charset val="204"/>
      </rPr>
      <t>Высота 260 мм:</t>
    </r>
    <r>
      <rPr>
        <sz val="10"/>
        <color theme="1"/>
        <rFont val="Times New Roman"/>
        <family val="1"/>
        <charset val="204"/>
      </rPr>
      <t xml:space="preserve">
Голубой - 15332
Желтый - 15333
Манго - 19782
Розовый - 15770
</t>
    </r>
    <r>
      <rPr>
        <b/>
        <i/>
        <sz val="10"/>
        <color theme="1"/>
        <rFont val="Times New Roman"/>
        <family val="1"/>
        <charset val="204"/>
      </rPr>
      <t>Высота 300 мм:</t>
    </r>
    <r>
      <rPr>
        <sz val="10"/>
        <color theme="1"/>
        <rFont val="Times New Roman"/>
        <family val="1"/>
        <charset val="204"/>
      </rPr>
      <t xml:space="preserve">
Голубой - 15329
Желтый - 15328
Манго - 41686
Розовый - 15771
Салатовый - 15330
</t>
    </r>
    <r>
      <rPr>
        <b/>
        <i/>
        <sz val="10"/>
        <color theme="1"/>
        <rFont val="Times New Roman"/>
        <family val="1"/>
        <charset val="204"/>
      </rPr>
      <t>Высота 340 мм:</t>
    </r>
    <r>
      <rPr>
        <sz val="10"/>
        <color theme="1"/>
        <rFont val="Times New Roman"/>
        <family val="1"/>
        <charset val="204"/>
      </rPr>
      <t xml:space="preserve">
Голубой - 20597
Желтый - 18743
Розовый - 21164
Салатовый - 20185</t>
    </r>
  </si>
  <si>
    <t xml:space="preserve">Стул Крепыш цветной. 
Материал: каркас сосна, сидение и спинка МДФ.
Цвета: Розовый, жетлтый, голубой, салатный
220 мм
260 мм
300 мм
340 мм
</t>
  </si>
  <si>
    <t>H = 220 - 30035
Н = 260 - 25958
Н = 300 - 27099
Н = 340 - 25807</t>
  </si>
  <si>
    <t>Стул Крепыш Гжель (Массив).                  220 мм
260 мм
300 мм
340 мм</t>
  </si>
  <si>
    <t>Н = 340 - 25811</t>
  </si>
  <si>
    <t>Стул Крепыш Жарптица (Массив).                  220 мм
260 мм
300 мм
340 мм</t>
  </si>
  <si>
    <t>Н = 220 - 54164
Н = 260 - 47223
Н = 300 - 47751
Н = 340 - 25812</t>
  </si>
  <si>
    <t>Стул Крепыш Клубничка (Массив).                  220 мм
260 мм
300 мм
340 мм</t>
  </si>
  <si>
    <t>Н = 260 - 25959
Н = 340 - 25810</t>
  </si>
  <si>
    <t>Стул Крепыш Филин (Массив).                  220 мм
260 мм
300 мм
340 мм</t>
  </si>
  <si>
    <t>Н = 220 - 46858
Н = 260 - 25960
Н = 300 - 30614
Н = 340 - 25809</t>
  </si>
  <si>
    <t>Стул Крепыш Пчелка (Массив).                  220 мм
260 мм
300 мм
340 мм</t>
  </si>
  <si>
    <t>Н = 220 - 30036
Н = 260 - 25961
Н = 300 - 28873
Н = 340 - 24720</t>
  </si>
  <si>
    <t>Стул Крепыш Хохлома (Массив).                  220 мм
260 мм
300 мм
340 мм</t>
  </si>
  <si>
    <r>
      <rPr>
        <b/>
        <i/>
        <sz val="10"/>
        <color theme="1"/>
        <rFont val="Times New Roman"/>
        <family val="1"/>
        <charset val="204"/>
      </rPr>
      <t>Высота 180 - 260 мм:</t>
    </r>
    <r>
      <rPr>
        <sz val="10"/>
        <color theme="1"/>
        <rFont val="Times New Roman"/>
        <family val="1"/>
        <charset val="204"/>
      </rPr>
      <t xml:space="preserve">
Голубой - 24545
Желтый - 24546
Манго - 29317
Розовый - 24548
Салатовый - 24547
</t>
    </r>
    <r>
      <rPr>
        <b/>
        <i/>
        <sz val="10"/>
        <color theme="1"/>
        <rFont val="Times New Roman"/>
        <family val="1"/>
        <charset val="204"/>
      </rPr>
      <t>Высота 220 - 300 мм:</t>
    </r>
    <r>
      <rPr>
        <sz val="10"/>
        <color theme="1"/>
        <rFont val="Times New Roman"/>
        <family val="1"/>
        <charset val="204"/>
      </rPr>
      <t xml:space="preserve">
Голубой - 15326
Желтый - 40620
Розовый - 15538
Салатовый - 41558
</t>
    </r>
    <r>
      <rPr>
        <b/>
        <i/>
        <sz val="10"/>
        <color theme="1"/>
        <rFont val="Times New Roman"/>
        <family val="1"/>
        <charset val="204"/>
      </rPr>
      <t>Высота 260 - 340:</t>
    </r>
    <r>
      <rPr>
        <sz val="10"/>
        <color theme="1"/>
        <rFont val="Times New Roman"/>
        <family val="1"/>
        <charset val="204"/>
      </rPr>
      <t xml:space="preserve">
Голубой - 18773
Желтый - 40509
Манго - 42842
Розовы - 41870
Салатовый - 16712</t>
    </r>
  </si>
  <si>
    <t>Стул Крепыш регулируемый. Материал: каркас сосна, сидение и спинка МДФ.
Сиденье и спинка регулируемого стула могут быть зафиксированы на разной высоте: 3 положения для сиденья 180-220-260; 220-260-300 мм; 260-300-340 мм, 2 положения для спинки. Спинка переворачивается на 180 градусов.
Цвет: Розовый, Голубой, Салатный, Желтый</t>
  </si>
  <si>
    <t>Н 180-260 - 38521
Н 220-300 - 25205
Н 260-340 - 26067</t>
  </si>
  <si>
    <t>Стул Крепыш Гжель регулируемый (Массив).
Сиденье и спинка регулируемого стула могут быть зафиксированы на разной высоте: 3 положения для сиденья 180-220-260; 220-260-300 мм; 260-300-340 мм, 2 положения для спинки. Спинка переворачивается на 180 градусов.</t>
  </si>
  <si>
    <t>Н 180-260 - 59709
Н 220-300 - 25206
Н 260-340 - 26068</t>
  </si>
  <si>
    <t>Стул Крепыш Клубничка регулируемый (Массив).
Сиденье и спинка регулируемого стула могут быть зафиксированы на разной высоте: 3 положения для сиденья 180-220-260; 220-260-300 мм; 260-300-340 мм, 2 положения для спинки. Спинка переворачивается на 180 градусов..</t>
  </si>
  <si>
    <t>Н 180-260 - 59710
Н 220-300 - 25207
Н 260-340 - 26069</t>
  </si>
  <si>
    <t>Стул Крепыш Хохлома регулируемый  (Массив).
Сиденье и спинка регулируемого стула могут быть зафиксированы на разной высоте: 3 положения для сиденья 180-220-260; 220-260-300 мм; 260-300-340 мм, 2 положения для спинки. Спинка переворачивается на 180 градусов.</t>
  </si>
  <si>
    <t>Н 180-260 - 32629
Н 220-300 - 25208
Н 260-340 - 26070</t>
  </si>
  <si>
    <t>Стул Крепыш Пчелки регулируемый (Массив).
Сиденье и спинка регулируемого стула могут быть зафиксированы на разной высоте: 3 положения для сиденья 180-220-260; 220-260-300 мм; 260-300-340 мм, 2 положения для спинки. Спинка переворачивается на 180 градусов.</t>
  </si>
  <si>
    <t>Н 180-260 - 38613
Н 220-300 - 27855
Н 260-340 - 26071</t>
  </si>
  <si>
    <t>Стул Крепыш Жарптица регулируемый (Массив).
Сиденье и спинка регулируемого стула могут быть зафиксированы на разной высоте: 3 положения для сиденья 180-220-260; 220-260-300 мм; 260-300-340 мм, 2 положения для спинки. Спинка переворачивается на 180 градусов.</t>
  </si>
  <si>
    <t>Н 180-260 - 45007
Н 220-300 - 25209
Н 260-340 - 29257</t>
  </si>
  <si>
    <t>Стул Крепыш Филин регулируемый (Массив).
Сиденье и спинка регулируемого стула могут быть зафиксированы на разной высоте: 3 положения для сиденья 180-220-260; 220-260-300 мм; 260-300-340 мм, 2 положения для спинки. Спинка переворачивается на 180 градусов.</t>
  </si>
  <si>
    <t>Стул детский  регулируемый (массив сосны) 220-300 мм.
 Габаритные размеры стула (ДхГхВ), мм: 300х280х500. Габаритные размеры  сиденья стула (ДхГ), мм: 270х280. Материал изготовления: массив сосны. Толщина сиденья, мм: 20. Стул покрыт лаком. Цвет: светлый бук</t>
  </si>
  <si>
    <t>Стул детский  регулируемый (массив сосны) 
Регулировка высоты стула в диапазоне 180-220-260 мм. 
Габаритные размеры стула (ДхГхВ), мм: 300х280х500. Габаритные размеры  сиденья стула (ДхГ), мм: 270х280. Материал изготовления: массив сосны. Толщина сиденья, мм: 20. Стул покрыт лаком. Цвет: светлый бук</t>
  </si>
  <si>
    <t>Стул детский регулируемый (массив сосны) 260-340мм.  Стул изготовлен из массива дерева. 
Покрытие нитроэмаль, бесцветный лак с обработкой кромок.
Высота сиденья: 260-340 мм</t>
  </si>
  <si>
    <t>Стул Дошколенок регулируемый по высоте р.гр 1-4. Высота до сидения: 260/300/340/380 мм. Цвет каркаса Серебристый. Цвет спинки и сиденья голубой</t>
  </si>
  <si>
    <t>Стул Дошколенок регулируемый по высоте р.гр 1-4. Высота до сидения: 260/300/340/380 мм. Цвет каркаса Серебристый. Цвет спинки и сиденья желтый</t>
  </si>
  <si>
    <t>Стул Дошколенок регулируемый по высоте р.гр 1-4. Высота до сидения: 260/300/340/380 мм. Цвет каркаса Серебристый. Цвет спинки и сиденья салатовый</t>
  </si>
  <si>
    <t>Стул Дошколенок регулируемый по высоте р.гр 1-4. Высота до сидения: 260/300/340/380 мм. Цвет каркаса Серебристый. Цвет спинки и сиденья розовый</t>
  </si>
  <si>
    <t>Н 180 - 260: 48612
Н 260 - 340: 41147</t>
  </si>
  <si>
    <t>Стул Дошколенок регулируемый по высоте р.гр 1-4. Высота до сидения: 260/300/340/380 мм. Цвет каркаса Серебристый. Цвет спинки и сиденья оранжевый</t>
  </si>
  <si>
    <t>Стул Дошколенок Гжель регулируемый по высоте р.гр 1-4. Высота до сидения: 260/300/340/380 мм. Цвет каркаса Серебристый</t>
  </si>
  <si>
    <t>Стул Дошколенок Клубничка регулируемый по высоте р.гр 1-4. Высота до сидения: 260/300/340/380 мм. Цвет каркаса Серебристый.</t>
  </si>
  <si>
    <t>Стул Дошколенок Хохлома регулируемый по высоте р.гр 1-4. Высота до сидения: 260/300/340/380 мм. Цвет каркаса Серебристый</t>
  </si>
  <si>
    <t>Стул Дошколенок Пчелки регулируемый по высоте р.гр 1-4. Высота до сидения: 260/300/340/380 мм. Цвет каркаса Серебристый.</t>
  </si>
  <si>
    <t>Стул Дошколенок Жарптица регулируемый по высоте р.гр 1-4. Высота до сидения: 260/300/340/380 мм. Цвет каркаса Серебристый</t>
  </si>
  <si>
    <t>Стул Дошколенок Филин регулируемый по высоте р.гр 1-4. Высота до сидения: 260/300/340/380 мм. Цвет каркаса Серебристый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</si>
  <si>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Цвет спинки и сиденья голубой</t>
  </si>
  <si>
    <t>Стул Малышок регулируемый по высоте р.гр 0-3. Высота до сидения: 220/260/300/340мм. Металлокаркас круглая металлическая труба 16/20 (диаметр). Цвет каркаса Серебристый. Цвет спинки и сиденья желтый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</si>
  <si>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Цвет спинки и сиденья Манго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</si>
  <si>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Цвет спинки и сиденья розовый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</si>
  <si>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Цвет спинки и сиденья Салатовый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</si>
  <si>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Спинка и сидение роспись Бабочка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</si>
  <si>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Спинка и сидение роспись Енотик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</si>
  <si>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Спинка и сидение роспись Лягушонок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</si>
  <si>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Спинка и сидение роспись Медвежонок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</si>
  <si>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Спинка и сидение роспись Обезьянка</t>
  </si>
  <si>
    <t>Стул Малышок регулируемый по высоте р.гр 0-3. Высота до сидения: 220/260/300/340мм. Металлокаркас круглая металлическая труба 16/20 (диаметр). Цвет каркаса Серебристый. Спинка и сидение роспись Пандочка</t>
  </si>
  <si>
    <t>Стул Малышок регулируемый по высоте р.гр 0-3. Высота до сидения: 220/260/300/340 мм. Металлокаркас круглая металлическая труба 16/20 (диаметр). Цвет каркаса Серебристый. Спинка и сидение роспись Совенок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</si>
  <si>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- голубой МДФ.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</si>
  <si>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- желтый МДФ.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</si>
  <si>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- МДФ цвета Манго.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</si>
  <si>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- розовый МДФ.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</si>
  <si>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- салатовый МДФ.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</si>
  <si>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роспись Бабочка, материал - фанера.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</si>
  <si>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роспись Енотик, материал - фанера.</t>
  </si>
  <si>
    <t>Стул Малышок регулируемый по высоте р.гр 0-3. Высота до сидения: 220/260/300/340 мм. Металлокаркас квадратная труба  20*20/15*15 сечения. Цвет каркаса Серебристый. Спинка и сидение роспись Лягушонок, материал - фанера.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</si>
  <si>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роспись Медвежонок, материал - фанера.</t>
  </si>
  <si>
    <t>Стул Малышок регулируемый по высоте р.гр 0-3. Высота до сидения: 220/260/300/340 мм. Металлокаркас квадратная труба  20*20/15*15 сечения. Цвет каркаса Серебристый. Спинка и сидение роспись Обезьянка, материал - фанера.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</si>
  <si>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роспись Пандочка, материал - фанера.</t>
  </si>
  <si>
    <t>Стул Малышок регулируемый по высоте р.гр 0-3. Высота до сидения: 220/260/300/340 мм. Металлокаркас квадратная труба 20*20/15*15 сечения. Цвет каркаса Серебристый. Спинка и сидение роспись Совенок, материал - фанера.</t>
  </si>
  <si>
    <t>Н=260 - 54317
Н=300 - 52190
Н=340 - 52149</t>
  </si>
  <si>
    <t>Стул "Арфа"
Материал фанера березовая, покрытие лак.
Высота Н=260, Н=300, Н=340</t>
  </si>
  <si>
    <t>Н = 260 - 54318
Н = 300 - 52188
Н = 340 - 52147</t>
  </si>
  <si>
    <t>Стул "Скрипичный ключ"
Материал фанера березовая, покрытие лак.
Высота: Н=260, Н=300, Н=340</t>
  </si>
  <si>
    <t>Н = 260 - 54319
Н = 300 - 52189
Н = 340 - 52148</t>
  </si>
  <si>
    <t>Стул "Медвежонок" 
Материал фанера березовая, покрытие лак.
Высота: Н=260, Н=300, Н=340</t>
  </si>
  <si>
    <t>Н=260, Голубой - 54923
Н=260, Зеленый - 54669
Н=260, Розовый - 54671
Н=300, Бирюзовый - 54924
Н=300, Голубой - 54673
Н=300, Зеленый - 54674
Н=300, Розовый - 54672
Н=340, Бирюзовый - 54925
Н=340, Голубой - 54676
Н=340, Зеленый - 54677
Н=340, Розовый - 54675</t>
  </si>
  <si>
    <t>Стул "Арфа" цветной
Материал фанера березовая.
Варианты цвета: голубой, зеленый, бирюзовый, розовый
Высота: Н=260, Н=300, Н=340</t>
  </si>
  <si>
    <t>Н=260, бирюзовый - 54926
Н=260, голубой - 54679
Н=260, зеленый - 54680
Н=260, розовый - 54678
Н=300, бирюзовый - 54927
Н=300, голубой - 54682
Н=300, зеленый - 54683
Н=300, розовый - 54681
Н=340, бирюзовый - 54928
Н=340, голубой - 54690
Н=340, зеленый - 54692
Н=340, розовый - 54687</t>
  </si>
  <si>
    <t>Стул "Скрипичный ключ" цветной
Материал фанера березовая.
Варианты цвета: голубой, зеленый, бирюзовый, розовый
Высота: Н=260, Н=300, Н=340</t>
  </si>
  <si>
    <r>
      <rPr>
        <b/>
        <i/>
        <sz val="10"/>
        <color theme="1"/>
        <rFont val="Times New Roman"/>
        <family val="1"/>
        <charset val="204"/>
      </rPr>
      <t>Высота 260 мм:</t>
    </r>
    <r>
      <rPr>
        <sz val="10"/>
        <color theme="1"/>
        <rFont val="Times New Roman"/>
        <family val="1"/>
        <charset val="204"/>
      </rPr>
      <t xml:space="preserve"> 
Бежевый - 55546
Голубой - 55547
Оранжевый - 55548
Розовый - 55549
Салатовый - 55550
</t>
    </r>
    <r>
      <rPr>
        <b/>
        <i/>
        <sz val="10"/>
        <color theme="1"/>
        <rFont val="Times New Roman"/>
        <family val="1"/>
        <charset val="204"/>
      </rPr>
      <t>Высота 300 мм:</t>
    </r>
    <r>
      <rPr>
        <sz val="10"/>
        <color theme="1"/>
        <rFont val="Times New Roman"/>
        <family val="1"/>
        <charset val="204"/>
      </rPr>
      <t xml:space="preserve">
Бежевый - 58181
Голубой - 58182
Оранжевый - 58183
Розовый - 58184
Салатовый - 58185
</t>
    </r>
    <r>
      <rPr>
        <b/>
        <i/>
        <sz val="10"/>
        <color theme="1"/>
        <rFont val="Times New Roman"/>
        <family val="1"/>
        <charset val="204"/>
      </rPr>
      <t>Высота 340 мм:</t>
    </r>
    <r>
      <rPr>
        <sz val="10"/>
        <color theme="1"/>
        <rFont val="Times New Roman"/>
        <family val="1"/>
        <charset val="204"/>
      </rPr>
      <t xml:space="preserve">
Бежевый - 55541
Голубой - 55542
Оранжевый - 55543
Розовый - 55544
Салатовый - 55545</t>
    </r>
  </si>
  <si>
    <r>
      <t xml:space="preserve">Стул Арфа. Высота до сидения: </t>
    </r>
    <r>
      <rPr>
        <sz val="11"/>
        <color theme="1"/>
        <rFont val="Times New Roman"/>
        <family val="1"/>
        <charset val="204"/>
      </rPr>
      <t>260, 300, 340 мм. Материал фанера березовая 10мм, покрытие эмаль цвет слоновая кость. Цвета кожезаменителя: бежевый, розовый, синий.</t>
    </r>
  </si>
  <si>
    <r>
      <rPr>
        <b/>
        <i/>
        <sz val="10"/>
        <color theme="1"/>
        <rFont val="Times New Roman"/>
        <family val="1"/>
        <charset val="204"/>
      </rPr>
      <t>Высота 260 мм:</t>
    </r>
    <r>
      <rPr>
        <sz val="10"/>
        <color theme="1"/>
        <rFont val="Times New Roman"/>
        <family val="1"/>
        <charset val="204"/>
      </rPr>
      <t xml:space="preserve"> 
Бежевый - 55551
Голубой - 55557
Оранжевый - 55558
Розовый - 55559
Салатовый - 55560
</t>
    </r>
    <r>
      <rPr>
        <b/>
        <i/>
        <sz val="10"/>
        <color theme="1"/>
        <rFont val="Times New Roman"/>
        <family val="1"/>
        <charset val="204"/>
      </rPr>
      <t>Высота 300 мм:</t>
    </r>
    <r>
      <rPr>
        <sz val="10"/>
        <color theme="1"/>
        <rFont val="Times New Roman"/>
        <family val="1"/>
        <charset val="204"/>
      </rPr>
      <t xml:space="preserve">
Бежевый - 55556
Голубой - 55552
Оранжевый - 55553
Розовый - 55554
Салатовый - 55555
</t>
    </r>
    <r>
      <rPr>
        <b/>
        <i/>
        <sz val="10"/>
        <color theme="1"/>
        <rFont val="Times New Roman"/>
        <family val="1"/>
        <charset val="204"/>
      </rPr>
      <t>Высота 340 мм:</t>
    </r>
    <r>
      <rPr>
        <sz val="10"/>
        <color theme="1"/>
        <rFont val="Times New Roman"/>
        <family val="1"/>
        <charset val="204"/>
      </rPr>
      <t xml:space="preserve">
Бежевый - 58009
Голубой - 55715
Оранжевый - 55716
Розовый - 55717
Салатовый - 55718</t>
    </r>
  </si>
  <si>
    <r>
      <t xml:space="preserve">Стул Скрипичный ключ. Высота до сидения: </t>
    </r>
    <r>
      <rPr>
        <sz val="11"/>
        <color theme="1"/>
        <rFont val="Times New Roman"/>
        <family val="1"/>
        <charset val="204"/>
      </rPr>
      <t>260, 300, 340 мм. Материал фанера березовая 10мм, покрытие эмаль цвет слоновая кость. Цвета кожезаменителя: бежевый, розовый, синий.</t>
    </r>
  </si>
  <si>
    <r>
      <rPr>
        <b/>
        <i/>
        <sz val="10"/>
        <color theme="1"/>
        <rFont val="Times New Roman"/>
        <family val="1"/>
        <charset val="204"/>
      </rPr>
      <t>Высота 220-300 мм:</t>
    </r>
    <r>
      <rPr>
        <sz val="10"/>
        <color theme="1"/>
        <rFont val="Times New Roman"/>
        <family val="1"/>
        <charset val="204"/>
      </rPr>
      <t xml:space="preserve"> 
Бежевый - 55247
Голубой - 55254
Оранжевый - 55252
Розовый - 55253
Салатовый - 55251
</t>
    </r>
    <r>
      <rPr>
        <b/>
        <i/>
        <sz val="10"/>
        <color theme="1"/>
        <rFont val="Times New Roman"/>
        <family val="1"/>
        <charset val="204"/>
      </rPr>
      <t>Высота 260-340 мм:</t>
    </r>
    <r>
      <rPr>
        <sz val="10"/>
        <color theme="1"/>
        <rFont val="Times New Roman"/>
        <family val="1"/>
        <charset val="204"/>
      </rPr>
      <t xml:space="preserve">
Бежевый - 55536
Голубой - 55537
Оранжевый - 55538
Розовый - 55539
Салатовый - 55540</t>
    </r>
  </si>
  <si>
    <t>Стул Мудрый филин регулируемый. Высота до сидения: 220/260/300/340 мм. Материал фанера березовая 10мм, покрытие эмаль цвет слоновая кость. Цвета кожезаменителя: бежевый, оранжевый, салатовый.</t>
  </si>
  <si>
    <t>3077
3078
3079</t>
  </si>
  <si>
    <t>Стул детский с хохломской росписью, светлый. Настоящая оригинальная Хохломская роспись.
Размер: (Д*Ш*В) 300х280х220/260/300 мм.</t>
  </si>
  <si>
    <t>Стул детский с хохломской росписью. Настоящая оригинальная Хохломская роспись.
Размер: (Д*Ш*В) 300х280х300 мм.</t>
  </si>
  <si>
    <t>4077
3216
3214</t>
  </si>
  <si>
    <t>Стул детский с хохломской росписью.
Настоящая оригинальная Хохломская роспись.
Размер: (Д*Ш*В) 300х280х220/260/300 мм.</t>
  </si>
  <si>
    <t>Стул детский "Дружок"с художественной росписью (регулируемый металлический каркас)1-3 р.к. Светлый</t>
  </si>
  <si>
    <t>Стул детский "Дружок"с художественной росписью (регулируемый металлический каркас)1-3 р.к. Темный</t>
  </si>
  <si>
    <t>Р.г. 0, голубой - 41983
Р.г.0, клен танзай - 23475
Р.г.0, салатовый - 42065
Р.г.00, голубой - 24001
Р.г.1, голубой - 23022
Р.г.1, желтый - 23769
Р.г.1, клен танзай - 33095
Р.г.1, салатовый - 23768
Р.г.2, голубой - 28871
Р.г.2, желтый - 28541
Р.г.2, клен танзай - 33096
Р.г.2, оранжевый - 22222
Р.г.2, салатовый - 28872
Р.г.3, белый - 29210
Р.г.3, желтый - 28910
Р.г.3, оранжевый - 29212</t>
  </si>
  <si>
    <t>Стол детский нерегулируемый. Столешница ЛДСП. Ножки массив сосны. В цвете. Размеры: 600х450х460/520/580</t>
  </si>
  <si>
    <t>Голубой - 3030
Желтый - 33329
Красный - 33331
Салатовый - 33330
Манго - 29337
Бук - 31318
Клен - 48957</t>
  </si>
  <si>
    <t>Стол квадратный, регулируемый по высоте. Размеры 900х900х460-580 мм. ЛДСП 16 мм; кромка ПВХ 2 мм; Углы столешницы закруглены. Возможные цвета: светло-синий, салатовый, желтый, манго или бук натур.
Также столы можно изготовить по Вашим размерам.</t>
  </si>
  <si>
    <t>Стол квадратный, регулируемый по высоте, с рисунком. 
Размеры 900х900х460-580 мм. Ножки металлические, регулируемые.   
Материал изготовления столешницы ЛДСП, толщина, мм: 16
Рисунок на поверхности ЛДСП является твердым покрытием, нанесенным при помощи специального оборудования.</t>
  </si>
  <si>
    <t>Бук - 27651
Клен Танзай - 48958</t>
  </si>
  <si>
    <t>Стол круглый на регулируемых ножках. Материал: ЛДСП. Размеры: d=900х460/520/580</t>
  </si>
  <si>
    <t>Голубой - 9239
Желтый - 30602
Розовый - 42710
Салатовый - 30315</t>
  </si>
  <si>
    <t>Стол круглый на регулируемых ножках. (в цвете) Материал: ЛДСП. Размеры: d=900х460/520/580</t>
  </si>
  <si>
    <t>Бук - 20680
Клен Танзай - 48960</t>
  </si>
  <si>
    <t>Стол полукруглый на регулируемых ножках. Материал: ЛДСП. Размеры: 900х450х460/520/580</t>
  </si>
  <si>
    <t>Салатовый - 27094
Голубой - 27095
Желтый - 27096
Р.г. 00-1, манго - 30591
Р.г. 00-1, салатовый-30589
Р.г. 00-1, красный - 30588
Р.г. 00-1, желтый - 30590
Р.г. 00-1, голубой - 30587</t>
  </si>
  <si>
    <t>Стол полукруглый на регулируемых ножках.(в цвете) Материал: ЛДСП. Размеры: 900х450х460/520/580</t>
  </si>
  <si>
    <t>Стол полукруглый на регулируемых ножках с рисунком 
 (ДхШ), мм: 1100х560
Ножки металлические, регулируемые.   
Материал изготовления столешницы ЛДСП, толщина, мм: 16
Рисунок на поверхности ЛДСП является твердым покрытием, нанесенным при помощи специального оборудования. 
Регулировка ножек стола в диапазоне 460-520, мм</t>
  </si>
  <si>
    <t xml:space="preserve">Голубой - 25804
Желтый - 25805
Красный - 25806
Оранжевый - 23737
Салатовый - 25803
</t>
  </si>
  <si>
    <t>Стол трапециевидный, регулир. высота, закругленные углы столешниц. Размеры 900х600х460-580 ЛДСП 16 мм; кромка ПВХ 2 мм; Возможные цвета: светло-синий, салатовый, желтый, манго.
Также столы можно изготовить по Вашим размерам.</t>
  </si>
  <si>
    <t>Бук - 24273
Клен - 48963</t>
  </si>
  <si>
    <t>Стол трапециевидный, рег. Высота, закругленные углы. Размеры 900х600х460,520,580
Возможные цвета: Ольха или бук натур.
Также столы можно изготовить по Вашим размерам.</t>
  </si>
  <si>
    <t>Голубой - 24054
Желтый - 24056
Манго - 25228
Салатовый - 24057</t>
  </si>
  <si>
    <t>Стол прямоугольный, закругленные углы. Регулируемая высота Размеры 900х600х460,520,580
Возможные цвета: светло-синий, салатовый, желтый, манго
Также столы можно изготовить по Вашим размерам.</t>
  </si>
  <si>
    <t>Голубой - 32056
Манго - 33493
Желтый - 33492
Красный - 33491
Салатовый - 33494</t>
  </si>
  <si>
    <t>Стол прямоугольный, закругленные углы. Регулируемая высота Размеры 1200х600х460,520,580
Возможные цвета: светло-синий, салатовый, желтый, манго
Также столы можно изготовить по Вашим размерам.</t>
  </si>
  <si>
    <t>Бук - 27307
Клен - 48962</t>
  </si>
  <si>
    <t>Стол прямоугольный, регулир. высота, закругленные углы столешниц. Размеры 900х600х460-580
Возможные цвета: Ольха, бук натур.
Также столы можно изготовить по Вашим размерам.</t>
  </si>
  <si>
    <t>Бук - 33490
Клен Танзай - 48961</t>
  </si>
  <si>
    <t>Стол прямоугольный, регулир. высота, закругленные углы столешниц. Размеры 1200х600х460-580
Возможные цвета: Ольха, бук натур.
Также столы можно изготовить по Вашим размерам.</t>
  </si>
  <si>
    <t xml:space="preserve">Стол прямоугольный, закругленные углы с рисунком. Размеры 1200х600х460-580
Ножки металлические, регулируемые.   
Материал изготовления столешницы ЛДСП, толщина, мм: 16
Рисунок на поверхности ЛДСП является твердым покрытием, нанесенным при помощи специального оборудования. </t>
  </si>
  <si>
    <t>Стол квадратный Хохлома
Настоящая оригинальная Хохломская роспись.
Размер: (Д*Ш*В) 650х650*520/580 мм</t>
  </si>
  <si>
    <t xml:space="preserve">светлый - 3941 
темный - 3212 </t>
  </si>
  <si>
    <t>Стол квадратный Осень Хохлома.
Хохломская роспись.
Размер: (Д*Ш*В) 650х650*460/520 мм</t>
  </si>
  <si>
    <t>Темные ножки - 3942
Красные ножки - 26803</t>
  </si>
  <si>
    <t>Стол малый Детство Хохлома
Настоящая оригинальная Хохломская роспись.
Размеры: (Д*Ш*В) 600х450х460 мм</t>
  </si>
  <si>
    <t>Стол малый с холодной росписью
Настоящая оригинальная Хохломская роспись.
Размер: (Д*Ш*В) 600х450х460 мм</t>
  </si>
  <si>
    <t>Бук - 21760
Клен Танзай - 48954</t>
  </si>
  <si>
    <r>
      <t>Стол «Ромашка» (цельный) на регулируемых ножках. Материал: ЛДСП. Размеры: d=</t>
    </r>
    <r>
      <rPr>
        <sz val="11"/>
        <rFont val="Times New Roman"/>
        <family val="1"/>
        <charset val="204"/>
      </rPr>
      <t>900</t>
    </r>
    <r>
      <rPr>
        <sz val="11"/>
        <color theme="1"/>
        <rFont val="Times New Roman"/>
        <family val="1"/>
        <charset val="204"/>
      </rPr>
      <t>х460/520/580</t>
    </r>
  </si>
  <si>
    <t>Салатовый - 22191
Желтый - 50469</t>
  </si>
  <si>
    <r>
      <t>Стол «Ромашка» (цельный) на регулируемых ножках. ( в цвете) Материал: ЛДСП. Размеры: d=</t>
    </r>
    <r>
      <rPr>
        <sz val="11"/>
        <color rgb="FFFF0000"/>
        <rFont val="Times New Roman"/>
        <family val="1"/>
        <charset val="204"/>
      </rPr>
      <t>900</t>
    </r>
    <r>
      <rPr>
        <sz val="11"/>
        <color theme="1"/>
        <rFont val="Times New Roman"/>
        <family val="1"/>
        <charset val="204"/>
      </rPr>
      <t>х460/520/580</t>
    </r>
  </si>
  <si>
    <t>Бук - 24175
Клен Танзай - 48948</t>
  </si>
  <si>
    <r>
      <t>Стол «Ромашка» (2 части) на регулируемых ножках. Материал: ЛДСП. Размеры: d=</t>
    </r>
    <r>
      <rPr>
        <sz val="11"/>
        <color rgb="FFFF0000"/>
        <rFont val="Times New Roman"/>
        <family val="1"/>
        <charset val="204"/>
      </rPr>
      <t>1500</t>
    </r>
    <r>
      <rPr>
        <sz val="11"/>
        <color theme="1"/>
        <rFont val="Times New Roman"/>
        <family val="1"/>
        <charset val="204"/>
      </rPr>
      <t>х460/520/580</t>
    </r>
  </si>
  <si>
    <t>Голубой/салатов - 25883
Голубой/желтый - 30034
Салатов/манго - 35196
Салатов/желтый - 35220</t>
  </si>
  <si>
    <r>
      <t>Стол «Ромашка» (2 части) на регулируемых ножках. (в цвете) Материал: ЛДСП. Размеры: d=</t>
    </r>
    <r>
      <rPr>
        <sz val="11"/>
        <color rgb="FFFF0000"/>
        <rFont val="Times New Roman"/>
        <family val="1"/>
        <charset val="204"/>
      </rPr>
      <t>1500</t>
    </r>
    <r>
      <rPr>
        <sz val="11"/>
        <color theme="1"/>
        <rFont val="Times New Roman"/>
        <family val="1"/>
        <charset val="204"/>
      </rPr>
      <t>х460/520/580</t>
    </r>
  </si>
  <si>
    <t>Бук - 22895
Клен Танзай - 48951</t>
  </si>
  <si>
    <t>Стол «Ромашка» (3 части) на регулируемых ножках. Материал: ЛДСП. Размеры: d=1500х460/520/580</t>
  </si>
  <si>
    <t>Салатовый / Желтый / Голубой - 7207</t>
  </si>
  <si>
    <t>Стол «Ромашка» (3 части) на регулируемых ножках. (в цвете) Материал: ЛДСП. Размеры: d=1500х460/520/580</t>
  </si>
  <si>
    <t>Бук - 26816
Клен Танзай - 48953</t>
  </si>
  <si>
    <r>
      <t>Стол «Ромашка» (6 частей) на регулируемых ножках. Материал: ЛДСП. Размеры: d=</t>
    </r>
    <r>
      <rPr>
        <sz val="11"/>
        <color rgb="FFFF0000"/>
        <rFont val="Times New Roman"/>
        <family val="1"/>
        <charset val="204"/>
      </rPr>
      <t>1500</t>
    </r>
    <r>
      <rPr>
        <sz val="11"/>
        <color theme="1"/>
        <rFont val="Times New Roman"/>
        <family val="1"/>
        <charset val="204"/>
      </rPr>
      <t xml:space="preserve">х460/520/580 </t>
    </r>
  </si>
  <si>
    <t>Салатовый / Желтый / Голубой - 3568
Салатовый / Желтый / Красный - 30371</t>
  </si>
  <si>
    <r>
      <t>Стол «Ромашка» (6 частей) на регулируемых ножках. (в цвете) Материал: ЛДСП. Размеры: d=</t>
    </r>
    <r>
      <rPr>
        <sz val="11"/>
        <color rgb="FFFF0000"/>
        <rFont val="Times New Roman"/>
        <family val="1"/>
        <charset val="204"/>
      </rPr>
      <t>1500</t>
    </r>
    <r>
      <rPr>
        <sz val="11"/>
        <color theme="1"/>
        <rFont val="Times New Roman"/>
        <family val="1"/>
        <charset val="204"/>
      </rPr>
      <t xml:space="preserve">х460/520/580 </t>
    </r>
  </si>
  <si>
    <t>Стол детский  (6 частей) 
Стол на деревянных нерегулируемых ножках, имеет треугольные столешницы закругленной формы, состоит из шести секций разного цвета.  
Возможны варианты размещения столов в группе в зависимости от цели их использования.  
В каждой части расположена полочка. 
Диаметр, мм: 1400
Материал изготовления столешницы ЛДСП  со стойким покрытием против воздействия воды и моющих, дезинфицирующих средств, толщина, мм: 16
Боковая противоударная кромка изготовлена из гибкого ПВХ профиля 
Цвет: микс</t>
  </si>
  <si>
    <t xml:space="preserve">Красная секция - 11913
Желтая секция - 11916
Секция манго - 22572
Секция розовый - 35675
Секция салатовый - 11915
Секция голубой - 11914
</t>
  </si>
  <si>
    <r>
      <t xml:space="preserve">Стол «Облачко» на регулируемых ножках. (в цвете) Материал: ЛДСП. Размеры: 800х756х460/520/580 мм. </t>
    </r>
    <r>
      <rPr>
        <b/>
        <sz val="11"/>
        <color theme="1"/>
        <rFont val="Times New Roman"/>
        <family val="1"/>
        <charset val="204"/>
      </rPr>
      <t>ЦЕНА ЗА ОДНУ СЕКЦИЮ!!!</t>
    </r>
  </si>
  <si>
    <t>Бук - 29188
Клен Танзай - 48959</t>
  </si>
  <si>
    <t>Стол «Луна» на регулируемых ножках. Материал: ЛДСП. Размеры: d=900х460/520/580</t>
  </si>
  <si>
    <t>Стол «Луна» на регулируемых ножках. (в цвете) Материал: ЛДСП. Размеры: d=900х460/520/580</t>
  </si>
  <si>
    <t xml:space="preserve">Стол "Кольцо" на регулируемых ножках. Материал: ЛДСП. Размеры: D1300х460/520/580; </t>
  </si>
  <si>
    <t>Стол Фиалка регулируемый по высоте.
Круглый стол диаметр 660 мм, цвет Желтый. Ширина 1660 мм; Глубина 1660 мм; Высота 0-3 р.г.; Стол-лепесток 720/380х530мм; Ростовая группа 0-3; Цвет ножек- металлик. Стол-лепесток цвета голубой, салатовый, розовый</t>
  </si>
  <si>
    <t>Стол логопедический со шторкой и светильником
Предназначен для оборудования помещений дошкольных учреждений и общеобразовательных школ. Размеры (Ш*Г), мм: 1400*584, высота - 700 мм (столешница), - 1400 мм (высота с надстройкой). Стол щитовой конструкции из ламинированной ДСП 16мм, кромки облицованы кантом ПВХ толщиной 2 мм. Цвет - Бук.</t>
  </si>
  <si>
    <t>Стол дидактический для логопеда 
1200х426х1100</t>
  </si>
  <si>
    <t>Голубой - 40210
Салатовый - 40211</t>
  </si>
  <si>
    <t>Стол игровой «Центр LEGO»                              950х460х600</t>
  </si>
  <si>
    <t>Ш к а ф ы</t>
  </si>
  <si>
    <t>Шкаф сушильный ЛДСП (цвет-клен танзай) 800х450х2000</t>
  </si>
  <si>
    <t>Шкаф сушильный ЛДСП (в цвете) 800х450х2000</t>
  </si>
  <si>
    <t>Кабинка детская 2 секции с нишей под банкетку. Двери кабинки с закругленными углами, с фрезеровкой под ручку. Каждая секция шкафа оборудована полкой для головного убора и крючками для верхней одежды. Материал: ЛДСП Клен танзай. Кромка ПВХ 2,0/0,4. Размеры: 600х320х1470.</t>
  </si>
  <si>
    <t>Кабинка детская 2 секции с нишей под банкетку. Двери кабинки с закругленными углами, с фрезеровкой под ручку. Каждая секция шкафа оборудована полкой для головного убора и крючками для верхней одежды. Материал: ЛДСП Клен танзай-голубой-желтый. Кромка ПВХ 2,0/0,4. Размеры: 600х320х1470.</t>
  </si>
  <si>
    <t>Кабинка детская 3 секции с нишей под банкетку. Двери кабинки с закругленными углами, с фрезеровкой под ручку. Каждая секция шкафа оборудована полкой для головного убора и крючками для верхней одежды. Материал: ЛДСП Клен танзай. Кромка ПВХ 2,0/0,4. Размеры: 900х320х1470.</t>
  </si>
  <si>
    <t>Кабинка детская 3 секции с нишей под банкетку. Двери кабинки с закругленными углами, с фрезеровкой под ручку. Каждая секция шкафа оборудована полкой для головного убора и крючками для верхней одежды. Материал: ЛДСП Клен танзай-голубой-желтый. Кромка ПВХ 2,0/0,4. Размеры: 900х320х1470.</t>
  </si>
  <si>
    <t>Кабинка детская 4 секции с нишей под банкетку. Двери кабинки с закругленными углами, с фрезеровкой под ручку. Каждая секция шкафа оборудована полкой для головного убора и крючками для верхней одежды. Материал: ЛДСП Клен танзай. Кромка ПВХ 2,0/0,4. Размеры: 1200х320х1470.</t>
  </si>
  <si>
    <t>Кабинка детская 4 секции с нишей под банкетку. Двери кабинки с закругленными углами, с фрезеровкой под ручку. Каждая секция шкафа оборудована полкой для головного убора и крючками для верхней одежды. Материал: ЛДСП Клен танзай-голубой-желтый. Кромка ПВХ 2,0/0,4. Размеры: 1200х320х1470.</t>
  </si>
  <si>
    <t>Кабинка детская 5 секций с нишей под банкетку. Двери кабинки с закругленными углами, с фрезеровкой под ручку. Каждая секция шкафа оборудована полкой для головного убора и крючками для верхней одежды. Материал: ЛДСП Клен танзай. Кромка ПВХ 2,0/0,4. Размеры: 1500х320х1470.</t>
  </si>
  <si>
    <t>Кабинка детская 5 секций с нишей под банкетку. Двери кабинки с закругленными углами, с фрезеровкой под ручку. Каждая секция шкафа оборудована полкой для головного убора и крючками для верхней одежды. Материал: ЛДСП Клен танзай-голубой-желтый-салатовый. Кромка ПВХ 2,0/0,4. Размеры: 1500х320х1470.</t>
  </si>
  <si>
    <r>
      <rPr>
        <b/>
        <sz val="11"/>
        <color indexed="8"/>
        <rFont val="Times New Roman"/>
        <family val="1"/>
        <charset val="204"/>
      </rPr>
      <t>Кабинка детская с нишей Домики (1 секция) Салатовый</t>
    </r>
    <r>
      <rPr>
        <sz val="11"/>
        <color indexed="8"/>
        <rFont val="Times New Roman"/>
        <family val="1"/>
        <charset val="204"/>
      </rPr>
      <t xml:space="preserve">
Корпус шкафа для одежды с нишей, 1 место, размер 30х30х178 мм, с фигурной дверкой в виде домика декорированной накладками в виде окошек. Корпус изготовлен из ЛДСП 16мм Клен Танзай с кромкой в цвет, дверка из ЛДСП 16мм Салатовый в белой кромке.</t>
    </r>
  </si>
  <si>
    <r>
      <rPr>
        <b/>
        <sz val="11"/>
        <color indexed="8"/>
        <rFont val="Times New Roman"/>
        <family val="1"/>
        <charset val="204"/>
      </rPr>
      <t>Кабинка детская с нишей Домики (1 секция) Голубой</t>
    </r>
    <r>
      <rPr>
        <sz val="11"/>
        <color indexed="8"/>
        <rFont val="Times New Roman"/>
        <family val="1"/>
        <charset val="204"/>
      </rPr>
      <t xml:space="preserve">
Корпус шкафа для одежды с нишей, 1 место, размер 30х30х178 см, с фигурной дверкой в виде домика, декорированной накладками в виде окошек. Корпус изготовлен из ЛДСП 16мм Клен Танзай с кромкой в цвет, дверка из ЛДСП 16мм Голубой в белой кромке.</t>
    </r>
  </si>
  <si>
    <r>
      <rPr>
        <b/>
        <sz val="11"/>
        <color indexed="8"/>
        <rFont val="Times New Roman"/>
        <family val="1"/>
        <charset val="204"/>
      </rPr>
      <t>Кабинка детская с нишей Домики (1 секция) Аква</t>
    </r>
    <r>
      <rPr>
        <sz val="11"/>
        <color indexed="8"/>
        <rFont val="Times New Roman"/>
        <family val="1"/>
        <charset val="204"/>
      </rPr>
      <t xml:space="preserve">
Корпус шкафа для одежды с нишей, 1 место, размер 30х30х178 см, с фигурной дверкой в виде домика декорированной накладками в виде окошек. Корпус изготовлен из ЛДСП 16мм Клен Танзай с кромкой в цвет, дверка из ЛДСП 16мм Аква в белой кромке.</t>
    </r>
  </si>
  <si>
    <r>
      <rPr>
        <b/>
        <sz val="11"/>
        <color indexed="8"/>
        <rFont val="Times New Roman"/>
        <family val="1"/>
        <charset val="204"/>
      </rPr>
      <t>Кабинка детская с нишей Домики (2 секции)</t>
    </r>
    <r>
      <rPr>
        <sz val="11"/>
        <color indexed="8"/>
        <rFont val="Times New Roman"/>
        <family val="1"/>
        <charset val="204"/>
      </rPr>
      <t xml:space="preserve">
Корпус шкафа для одежды с нишей, 2 места, размер 60х30х178 см, с фигурными дверками в виде домиков декорированными накладками в виде окошек. Корпус изготовлен из ЛДСП 16мм Клен Танзай с кромкой в цвет, дверки из ЛДСП 16мм Красный в белой кромке.</t>
    </r>
  </si>
  <si>
    <r>
      <rPr>
        <b/>
        <sz val="11"/>
        <color indexed="8"/>
        <rFont val="Times New Roman"/>
        <family val="1"/>
        <charset val="204"/>
      </rPr>
      <t>Кабинка детская с нишей Домики (3 секции)</t>
    </r>
    <r>
      <rPr>
        <sz val="11"/>
        <color indexed="8"/>
        <rFont val="Times New Roman"/>
        <family val="1"/>
        <charset val="204"/>
      </rPr>
      <t xml:space="preserve">
Корпус шкафа для одежды с нишей, 3 места, размер 90х30х178 см, с фигурными дверками в виде домиков декорированными накладками в виде окошек. Корпус изготовлен из ЛДСП 16мм Клен Танзай с кромкой в цвет, дверки из ЛДСП 16мм Салатовый, Голубой, Аква в белой кромке.</t>
    </r>
  </si>
  <si>
    <r>
      <rPr>
        <b/>
        <sz val="11"/>
        <color indexed="8"/>
        <rFont val="Times New Roman"/>
        <family val="1"/>
        <charset val="204"/>
      </rPr>
      <t>Кабинка детская с нишей Домики (4 секции)</t>
    </r>
    <r>
      <rPr>
        <sz val="11"/>
        <color indexed="8"/>
        <rFont val="Times New Roman"/>
        <family val="1"/>
        <charset val="204"/>
      </rPr>
      <t xml:space="preserve">
Корпус шкафа для одежды с нишей, 4 места, размер 120х30х178 см, с фигурными дверками в виде домиков декорированными накладками в виде окошек. Корпус изготовлен из ЛДСП 16мм Клен Танзай с кромкой в цвет, дверки из ЛДСП 16мм Салатовый, Аква, Голубой, Оранжевый в белой кромке.</t>
    </r>
  </si>
  <si>
    <r>
      <rPr>
        <b/>
        <sz val="11"/>
        <color indexed="8"/>
        <rFont val="Times New Roman"/>
        <family val="1"/>
        <charset val="204"/>
      </rPr>
      <t>Кабинка детская с нишей Домики (5 секций)</t>
    </r>
    <r>
      <rPr>
        <sz val="11"/>
        <color indexed="8"/>
        <rFont val="Times New Roman"/>
        <family val="1"/>
        <charset val="204"/>
      </rPr>
      <t xml:space="preserve">
Корпус шкафа для одежды с нишей, 5 мест, размер 150х30х178 см, с фигурными дверками в виде домиков декорированными накладками в виде окошек.  Корпус изготовлен из ЛДСП 16мм Клен Танзай с кромкой в цвет, дверки из ЛДСП 16мм Желтый, Голубой, Аква, Салатовый в белой кромке.</t>
    </r>
  </si>
  <si>
    <r>
      <t xml:space="preserve">Шкаф для одежды на цоколе (1 место).  Материал: ЛДСП, цвет клен танзай. Размеры: </t>
    </r>
    <r>
      <rPr>
        <b/>
        <sz val="11"/>
        <rFont val="Times New Roman"/>
        <family val="1"/>
        <charset val="204"/>
      </rPr>
      <t>300x320x1320</t>
    </r>
  </si>
  <si>
    <t>Голубой - 49024
Салатовый - 49025</t>
  </si>
  <si>
    <t>Шкаф для одежды на цоколе (1 место). В цвете Материал: ЛДСП. Размеры: 300x320x1320</t>
  </si>
  <si>
    <t>Шкаф для одежды с нишей (2 места). Материал: ЛДСП, цвет клен танзай. Размеры: 600x320x1470</t>
  </si>
  <si>
    <t>Шкаф для одежды с нишей (2 места). В цвете Материал: ЛДСП. Размеры: 600x320x1470</t>
  </si>
  <si>
    <t>Шкаф для одежды на цоколе (2 места). Материал: ЛДСП, цвет клен танзай. Размеры: 600x320x1320</t>
  </si>
  <si>
    <t>Красный, голубой - 49027
Салатовый, желтый - 49028</t>
  </si>
  <si>
    <t>Шкаф для одежды на цоколе (2 места). В цвете Материал: ЛДСП. Размеры: 600x320x1320</t>
  </si>
  <si>
    <t>Шкаф для одежды с нишей (3 места). Материал: ЛДСП, цвет клен танзай. Размеры: 900x320x1470</t>
  </si>
  <si>
    <t>Шкаф для одежды с нишей (3 места). В цвете. Материал: ЛДСП. Размеры: 900x320x1470</t>
  </si>
  <si>
    <t>Шкаф для одежды на цоколе (3 места). Материал: ЛДСП, цвет клен танзай. Размеры: 900x320x1320</t>
  </si>
  <si>
    <t>Красный, голубой, желтый - 49030
Желтый, салатовый, красный - 49031</t>
  </si>
  <si>
    <t>Шкаф для одежды на цоколе (3 места). В цвете Материал: ЛДСП. Размеры: 900x320x1320</t>
  </si>
  <si>
    <t>Шкаф для одежды с нишей (4 места). Материал: ЛДСП, цвет клен танзай. Размеры: 1200x320x1470</t>
  </si>
  <si>
    <t>Красный, голубой - 48894
Салатовый, желтый, голубой - 56064</t>
  </si>
  <si>
    <t>Шкаф для одежды с нишей (4 места). В цвете Материал: ЛДСП. Размеры: 1200x320x1470</t>
  </si>
  <si>
    <t>Шкаф для одежды на цоколе (4 места). Материал: ЛДСП цвет клен танзай. Размеры: 1200x320x1320</t>
  </si>
  <si>
    <t>Шкаф для одежды на цоколе (4 места). В цвете  Материал: ЛДСП. Размеры: 1200x320x1320</t>
  </si>
  <si>
    <t>Шкаф для одежды с нишей (5 мест). Материал: ЛДСП, цвет клен танзай. Размеры: 1500x320x1470</t>
  </si>
  <si>
    <t>Красный, голубой - 48826
Желтый, салатовый, голубой - 48838</t>
  </si>
  <si>
    <t>Шкаф для одежды с нишей (5 мест). В цвете Материал: ЛДСП. Размеры: 1500x320x1470</t>
  </si>
  <si>
    <t>Шкаф для одежды на цоколе (5 мест). Материал: ЛДСП, цвет клен танзай. Размеры: 1500x320x1320</t>
  </si>
  <si>
    <t>Красный, голубой - 49021
Разноцветный - 49035</t>
  </si>
  <si>
    <t>Шкаф для одежды на цоколе (5 мест). В цвете Материал: ЛДСП. Размеры: 1500x320x1320</t>
  </si>
  <si>
    <t>Шкаф для горшков на 10 мест. Материал: ЛДСП цвет клен танзай. Размеры: 1466х320х680</t>
  </si>
  <si>
    <t>Шкаф для горшков на 15 мест. Материал: ЛДСП цвет клен танзай. Размеры: 1466х320х970</t>
  </si>
  <si>
    <t>Шкаф для горшков на 20 мест. Материал: ЛДСП цвет клен танзай. Размеры: 1466х320х1260</t>
  </si>
  <si>
    <t>Шкаф для полотенец навесной (3 секции). Материал: ЛДСП, цвет клен танзай. Размеры: 454х130х700</t>
  </si>
  <si>
    <t>Голубой - 20587
Салатовый - 40016</t>
  </si>
  <si>
    <t>Шкаф для полотенец навесной (3 секции). В цвете Материал: ЛДСП. Размеры: 454х130х700</t>
  </si>
  <si>
    <r>
      <t xml:space="preserve">Шкаф для полотенец напольный (3 секции). Материал: ЛДСП, цвет клент танзай. Размеры: </t>
    </r>
    <r>
      <rPr>
        <sz val="11"/>
        <rFont val="Times New Roman"/>
        <family val="1"/>
        <charset val="204"/>
      </rPr>
      <t>454х230х850</t>
    </r>
  </si>
  <si>
    <t>Голубой - 29007
Салатовый - 39998</t>
  </si>
  <si>
    <t>Шкаф для полотенец напольный (3 секции). В цвете Материал: ЛДСП. Размеры: 454х230х850</t>
  </si>
  <si>
    <t>Шкаф для полотенец 2-яруса напольный (3 секции). Материал: ЛДСП, клен танзай. Размеры: 454х230х1100</t>
  </si>
  <si>
    <t>Шкаф для полотенец 2-яруса напольный (3 секции). В цвете Материал: ЛДСП. Размеры: 454х230х1100</t>
  </si>
  <si>
    <t>Шкаф для полотенец навесной (4 секции). Материал: ЛДСП, цвет клен танзай. Размеры: 600х130х700</t>
  </si>
  <si>
    <t>Шкаф для полотенец навесной (4 секции). В цвете Материал: ЛДСП. Размеры: 600х130х700</t>
  </si>
  <si>
    <t>Шкаф для полотенец напольный (4 секции). Материал: ЛДСП, цвет клен танзай. Размеры: 600х230х850</t>
  </si>
  <si>
    <t>Шкаф для полотенец напольный (4 секции). В цвете Материал: ЛДСП. Размеры: 600х230х850</t>
  </si>
  <si>
    <t>Шкаф для полотенец 2-яруса напольный (4 секции). Материал: ЛДСП, цвет клен танзай. Размеры: 600х230х1100</t>
  </si>
  <si>
    <t>Шкаф для полотенец 2-яруса напольный (4 секции). Материал: ЛДСП цветной  Размеры: 600х230х1100</t>
  </si>
  <si>
    <t>Шкаф для полотенец навесной (5 секций). Материал: ЛДСП, цвет клен танзай. Размеры: 746х130х700</t>
  </si>
  <si>
    <t>Голубой - 29018
Желтый - 37444
Салатовый - 37443</t>
  </si>
  <si>
    <t>Шкаф для полотенец навесной (5 секций). В цвете Материал: ЛДСП. Размеры: 746х130х700</t>
  </si>
  <si>
    <t>Шкаф для полотенец напольный (5 секций).  Материал: ЛДСП, цвет клен танзай. Размеры: 746х230х850</t>
  </si>
  <si>
    <t>Голубой - 29020
Салатовый - 39997</t>
  </si>
  <si>
    <t>Шкаф для полотенец напольный (5 секций) в цвете.  Материал: ЛДСП. Размеры: 746х230х850</t>
  </si>
  <si>
    <t>Шкаф для полотенец 2-яруса напольный (5 секций). Материал: ЛДСП, цвет клен танзай. Размеры: 746х230х1100</t>
  </si>
  <si>
    <t>Голубой - 29026
Желтый - 37705
Салатовый - 45212</t>
  </si>
  <si>
    <t>Шкаф для полотенец 2-яруса напольный (5 секций). В цвете Материал: ЛДСП. Размеры: 746х230х1100</t>
  </si>
  <si>
    <t>Полотенечница круглая. 12 отделений. Высота 1085 мм, диаметр 700 мм. На колесиках.</t>
  </si>
  <si>
    <t>С к а м ь и</t>
  </si>
  <si>
    <t>Банкетка для шкафа с нишей 1 секция, 250х250х220, цвет клен танзай</t>
  </si>
  <si>
    <t>Банкетка для шкафа с нишей 2 секци, 550х250х220, цвет клен танзай.</t>
  </si>
  <si>
    <t>Банкетка для шкафа с нишей 3 секции, 850х250х220, цвет клен танзай.</t>
  </si>
  <si>
    <t>Банкетка для шкафа с нишей 4 секции, 1150х250х220, цвет клен танзай.</t>
  </si>
  <si>
    <t>Банкетка для шкафа с нишей 5 секций.  1450х250х220, цвет клен танзай</t>
  </si>
  <si>
    <t>Скамья детская (2 места). Материал: ЛДСП, цвет клен танзай. Размеры: 600х280х260/300/340</t>
  </si>
  <si>
    <t>h300, Голубой - 48863
h300, Салатовый-48864</t>
  </si>
  <si>
    <t>Скамья детская (2 места). В цвете Материал: ЛДСП. Размеры: 600х280х260/300/340</t>
  </si>
  <si>
    <t>Скамья детская (3 места). Материал: ЛДСП, цвет клен танзай. Размеры: 900х280х260/300/340</t>
  </si>
  <si>
    <t>Скамья детская (3 места). В цвете Материал: ЛДСП. Размеры: 900х280х260/300/340</t>
  </si>
  <si>
    <t>Скамья детская (4 места). Материал: ЛДСП, цвет клен танзай. Размеры: 1200х280х260/300/340</t>
  </si>
  <si>
    <t>Желтый - 48868
Манго - 48869
Салатовый - 48870</t>
  </si>
  <si>
    <t>Скамья детская (4 места). В цвете Материал: ЛДСП. Размеры: 1200х280х260/300/340</t>
  </si>
  <si>
    <t>Скамья детская (5 мест). Материал: ЛДСП, цвет клен танзай. Размеры: 1500х280х260/300/340</t>
  </si>
  <si>
    <t>Голубой - 48872
Салатовый - 48874
Красный - 48873</t>
  </si>
  <si>
    <t>Скамья детская (5 мест).в цвете Материал: ЛДСП. Размеры: 1500х280х260/300/340</t>
  </si>
  <si>
    <t>К р о в а т и   и   п р и к р о в а т н ы е   т у м б ы</t>
  </si>
  <si>
    <t>Тумба прикроватная с нишей. Размеры 420х410х580 мм. Цвет клен танзай</t>
  </si>
  <si>
    <t>Тумба прикроватная без ниши Размеры 420х410х580 мм. Цвет клен танзай</t>
  </si>
  <si>
    <t>Кровать раскладная детская с матрасом на ламелях Размер:1420x700x340мм
В сложенном состоянии:130x700x730мм
Толщина матраца: 50 мм</t>
  </si>
  <si>
    <t>Длина 1200 мм - 48846 
Длина 1400 мм - 48854</t>
  </si>
  <si>
    <t>Кровать детская одноярусная одноместная. Материал: ЛДСП, цвет клен танзай. Размеры спального места: 1200/1400х600</t>
  </si>
  <si>
    <t>Длина 1200 мм:
Желтый/зеленый - 48847 
Желтый/голубой - 48848
Длина 1400 мм:
Желтый/голубой - 48849
Желтый/зеленый - 48850
Желтый/красный - 48851
Желтый/розовый - 48853
Зеленый - 48852</t>
  </si>
  <si>
    <t>Кровать детская одноярусная одноместная. В цвете Материал: ЛДСП. Размеры спального места: 1200/1400х600</t>
  </si>
  <si>
    <t>Кровать детская с нанесенным рисунком
Габаритные размеры спального места (ДхШ), мм: 1440х650
Высота  кровати, мм: 670
Дно кровати - ЛДСП, толщина, мм: 16
Материал изготовления кровати ЛДСП толщина, мм: 16
Боковые стороны кровати высотой, мм: 200
Рисунок на поверхности ЛДСП является твердым покрытием  
Цвет кровати: белый с детским сюжетным рисунком (мультипликационные герои).</t>
  </si>
  <si>
    <t>Саталовый/Желтый - 39954
Голубой/Желтый - 39995</t>
  </si>
  <si>
    <t>Кровать двухъярусная, для детей от 3 до 7 лет. Габаритные размеры кровати 1470х670х1500 мм. Цвет кровати: салатовый с желтым, голубой с желтым. Материал изготовления кровати ЛДСП.</t>
  </si>
  <si>
    <t>Кровать детская двухъярусная выкатная без тумбы. Материал: ЛДСП, цвет клен танзай. Размеры: 1432х655х580</t>
  </si>
  <si>
    <t>Кровать детская двухъярусная выкатная без тумбы. В цвете Материал: ЛДСП. Размеры: 1432х655х580</t>
  </si>
  <si>
    <t>Кровать детская трехъярусная выкатная с тумбой. Материал: ЛДСП, цвет клен танзай. Размеры: 1530х660х900 мм</t>
  </si>
  <si>
    <t>голубой , желтый, красный - 48825 / 
красный, желтый, салатовый - 48823</t>
  </si>
  <si>
    <t>Кровать детская трехъярусная выкатная с тумбой. В цвете Материал: ЛДСП. Размеры: 1530х660х900 мм</t>
  </si>
  <si>
    <t>Кровать детская трехъярусная выкатная без тумбы. Материал: ЛДСП, цвет клен танзай. Размеры: 1432х655х815</t>
  </si>
  <si>
    <t>Салатовый, желтый, голубой - 48845
Салатовый, желтый, красный - 51772</t>
  </si>
  <si>
    <t>Кровать детская трехъярусная выкатная без тумбы. В цвете Материал: ЛДСП. Размеры: 1432х655х815</t>
  </si>
  <si>
    <t>Клен - 60401
Бук - 60400</t>
  </si>
  <si>
    <t>Лестница для второго яруса кровати. Габариты (ШхГхВ): 400х190х580мм.</t>
  </si>
  <si>
    <t>Клен - 60399
Бук - 60398</t>
  </si>
  <si>
    <t>Лестница для третьего яруса кровати. Габариты (ШхГхВ): 400х190х800мм.</t>
  </si>
  <si>
    <t>Кресло (флок) . Размеры 482х560х570</t>
  </si>
  <si>
    <t>Диван односторонний (флок). Размеры 932х560х570</t>
  </si>
  <si>
    <t>Диван двухсторонний 4-х местный (флок). Размеры 632х600х500</t>
  </si>
  <si>
    <t>Диван двухсторонний 6-ти местный (флок). Размеры 932х600х500</t>
  </si>
  <si>
    <t>Банкетка (кожзам). Размеры 932х550х340</t>
  </si>
  <si>
    <t>Кресло мягкое игровое, бескаркасное (флок). Размеры  430х400х480</t>
  </si>
  <si>
    <t>Диван мягкий игровой, бескаркасный (флок). Размеры 800х400х480</t>
  </si>
  <si>
    <t>Пуфик</t>
  </si>
  <si>
    <t>С т е н к и   и   с т е л л а ж и</t>
  </si>
  <si>
    <t>Клен Танзай-желтый-голубой - 48942
Клен Танзай-желтый-красный - 48946</t>
  </si>
  <si>
    <t>Стенка детская «Теремок». Материал: ЛДСП. Размеры: 3365*340*1500 мм. Корпус Клен танзай, фасады цветные.</t>
  </si>
  <si>
    <t>Стенка детская «Паровозик». Материал: ЛДСП. Размеры: 3000х340х1200</t>
  </si>
  <si>
    <t>Стенка детская «Кораблик». Материал: ЛДСП. Размеры: 2600*340*1400</t>
  </si>
  <si>
    <t>Голубой, Желтый, Клен Танзай - 48933
Клен Танзай, желтый, салатовый - 48998</t>
  </si>
  <si>
    <t>Стенка детская «Антошка». Материал: ЛДСП. Размеры: 2000*340*1320</t>
  </si>
  <si>
    <t>Стенка с нанесенным рисунком (Лес-полянка) 
Габаритные размеры (ДхГхВ), мм: 3100х300х1400
Рисунок на поверхности ЛДСП является твердым покрытием, нанесенным при помощи специального оборудования. 
Материал изготовления: ЛДСП  со стойким покрытием, толщина, мм: 16</t>
  </si>
  <si>
    <t>Стенка для игрушек  - с нанесенным рисунком  (Детские игрушки)
Габаритные размеры конструкции (ШхГхВ), мм: 2500х420х1400. Рисунок на поверхности ЛДСП является твердым покрытием, нанесенным при помощи специального оборудования. 
Материал изготовления: ЛДСП  со стойким покрытием, толщина, мм: 16</t>
  </si>
  <si>
    <t>Стенка  для игрушек  с нанесенным рисунком (Золушка)
Габаритные размеры конструкции (ШхГхВ), мм: 2900х420х1400
Рисунок на поверхности ЛДСП является твердым покрытием, нанесенным при помощи специального оборудования. 
Материал изготовления: ЛДСП  со стойким покрытием, толщина, мм: 16</t>
  </si>
  <si>
    <t>Стенка с нанесенным рисунком.(Кораблик) 
Габаритные размеры (ДхГхВ), мм: 2850х420х1250
Материал изготовления: ЛДСП  со стойким покрытием, толщина, мм: 16
Рисунок на поверхности ЛДСП является твердым покрытием</t>
  </si>
  <si>
    <t>Стенка с нанесенным рисунком (Паровозик) 
Габаритные размеры (ДхГхВ), мм: 3200х420х950
Рисунок на поверхности ЛДСП является твердым покрытием, нанесенным при помощи специального оборудования. 
Материал изготовления: ЛДСП  со стойким покрытием, толщина, мм: 16</t>
  </si>
  <si>
    <t xml:space="preserve">Стенка для игрушек (рисунок Панда) 
Габаритные размеры  (ШхГхВ), мм: 2900х300х1400
Материал изготовления: ЛДСП  со стойким покрытием, толщина, мм: 16
Рисунок на поверхности ЛДСП является твердым покрытием, нанесенным при помощи специального оборудования. </t>
  </si>
  <si>
    <t>Стенка для игрушек  с нанесенным рисунком (Море-рыбки)
Габаритные размеры  (ШхГхВ), мм: 2840х420х1400
Материал изготовления: ЛДСП  со стойким покрытием, толщина, мм: 16
Рисунок на поверхности ЛДСП является твердым покрытием, нанесенным при помощи специального оборудования.</t>
  </si>
  <si>
    <t>Стенка для игрушек, размер 3100х420х1400 мм. 
Стенка состоит из пяти секций разной высоты. Боковые секции (1-я и 5-я)- стеллажи (2шт.) с двумя открытыми полочками, внизу стеллажей по одному выкатному ящику на мебельных колесиках с полукруглыми вырезами на дверцах для удобства выкатывания. Верх стеллажей выполнен в виде треугольной крышки. Вторая и четвертая секции- стеллажи; верхняя часть имеет по две «глухие» дверцы (внутри одна полка); нижняя часть открытые полки (2шт.). «Верхушка каждого стеллажа выполнена в виде треугольной крыши. Третья секция (центральная)- стеллаж: верхняя часть выполнена в виде четырех квадратных открытых ячеек; нижняя часть имеет две «глухие» дверцы с полукруглыми вырезами для удобства открывания, внутри одна полка. «Верхушка стеллажа выполнена в  виде треугольной крыши.  
Габаритные размеры  (ШхГхВ), мм: 3100х420х1400
Материал изготовления: ЛДСП  со стойким покрытием против воздействия воды и моющих, дезинфицирующих средств, толщина, мм: 16
Боковая противоударная кромка изготовлена из гибкого ПВХ профиля</t>
  </si>
  <si>
    <t>Стеллаж «Мишутка». Материал: ЛДСП. Размеры: 1920х420х1400</t>
  </si>
  <si>
    <t>Стеллаж «Малыш». Материал: ЛДСП. Размеры: 2700*340*700</t>
  </si>
  <si>
    <t>Стеллаж «Светофор». Материал: ЛДСП. Размеры: 1640х420х1600</t>
  </si>
  <si>
    <t xml:space="preserve">Стеллаж "Домик". Размеры: 223*44*121 см
Стеллаж предназначен для пособий и книг, имеет две высокие и две низкие тумбы с полками, на средних полках бортики. Под средними полками два выдвижных вместительных ящика. Со стойким покрытием против воздействия воды и моющих, дезинфицирующих средств. Цветовое исполнение соответствует изображению. </t>
  </si>
  <si>
    <t>Голубой, Салатовый, Красный - 24243
Голубой, Салатовый, Желтый - 27686</t>
  </si>
  <si>
    <t xml:space="preserve">Стеллаж «Лесенка». Материал: ЛДСП. Размеры: 1200*300*1500. </t>
  </si>
  <si>
    <t>Стеллаж "Дерево" Размер: 1800х1200х350 цвет Салатовый</t>
  </si>
  <si>
    <t>Голубой, желтый, красный - 27731
Голубой, желтый - 40537
Салатовый, желтый - 29320</t>
  </si>
  <si>
    <t>Игровой модуль №2. Материал: ЛДСП. Размеры: 900х340х710</t>
  </si>
  <si>
    <t>Желтый, Красный, Салатовый - 24171
Желтый, Голубой - 38490
Желтый, Салатовый - 29321</t>
  </si>
  <si>
    <t>Игровой модуль №3. Материал: ЛДСП. Размеры: 900х340х900</t>
  </si>
  <si>
    <t>Стеллаж для пособий. Размер: 84х42х171 см.
Стеллаж предназначен для пособий и книг. Сверху  4-х полки, а внизу предусмотрена тумба для скрытого хранения учебных материалов. Со стойким покрытием против воздействия воды и моющих, дезинфицирующих средств. Цветовое исполнение соответствует изображению.</t>
  </si>
  <si>
    <t>Стеллаж для книг. Полки: по краям располагаются малые отсеки в общей сложности 10 штук, а по центру - крупные ниши в количестве 5-ти штук. Со стойким покрытием против воздействия воды и моющих, дезинфицирующих средств. Размер:  145х40х160 см
Цветовое исполнение соответствует изображению.</t>
  </si>
  <si>
    <t>Желтый, голубой - 14521
Желтый, салатовый - 40212</t>
  </si>
  <si>
    <t>Стеллаж для книг. Материал: ЛДСП. Размеры: 1000х340х1200</t>
  </si>
  <si>
    <t>Стеллаж библиотечный "Круг" с местом для сидения. Размеры 1300х500х1704 мм. Материал: ЛДСП 16 мм. Корпус Клен Танзай, декор и полки салатовый - желтый. Кромка 2.0/0.4 мм. Ткань кожзам Желтого цвета.</t>
  </si>
  <si>
    <t>Двухсторонняя стенка "Круг" состоит из 3 стеллажей, размеры  2364х500х1704 мм. Два открытых стеллажа с размерами 532х500х1704 мм. По середине открытый стеллаж с посадочным местом в виде круга 1300х500х1704 мм. Материал: ЛДСП 16 мм. Корпус Клен Танзай, декор и полки салатовый - желтый. Кромка 2.0/0.4 мм. Ткань кожзам Желтого цвета.</t>
  </si>
  <si>
    <t>Уголок спортинвентаря. Размеры 1400*310*1000 мм</t>
  </si>
  <si>
    <t>Спортивный уголок "Мельница" Размер: 1150х420х1500мм. Уголок изготовлен в виде мельницы, имеет вместительный ящик необычной формы для хранения спортивного инвентаря. Стойка с лопастями ввиде мельницы украшает изделие. На стойке полукруглые полочки с отверстиями для флажков, на лопастых крючки для ленточек и скакалок. ЛДСП-16мм. Разноцветный дизайн.</t>
  </si>
  <si>
    <t>Стеллаж для игрушек "Башня"
Cтеллаж 1504х400х1505,
Ящик малый 380х380х385,
Ящик большой 644х380х449</t>
  </si>
  <si>
    <t>Стеллаж для игрушек "Игротека"
2100х500х1800</t>
  </si>
  <si>
    <t>Клен Танзай, Оранжевый, салатовый - 48879
Голубой, салатновый - 21778</t>
  </si>
  <si>
    <t>Стеллаж для игрушек и дидактических материалов (5 предметов)
Стеллаж с дверками 732х340х828,
Стеллаж с дверкой (лев. или прав.) 732х340х828,
Стеллаж с полкой 632х340х828,
Стеллаж угловой 616х616х828</t>
  </si>
  <si>
    <t>Салатовый - 47646</t>
  </si>
  <si>
    <t>Секция 1-но ярусная приставная для Стенки "Антошка". Размеры 480х420х500
Возможные цвета светло-синий, салатовый, желтый, манго или бук натур.</t>
  </si>
  <si>
    <t>Голубой - 32255</t>
  </si>
  <si>
    <t>Секция 2-х ярусная с выкатным ящиком для Стенки "Антошка". Размеры 480х440х700 мм
Возможные цвета светло-синий, салатовый, желтый, манго или бук натур.</t>
  </si>
  <si>
    <t>Голубой - 42837
Салатовый - 28972</t>
  </si>
  <si>
    <t>Секция 3-х ярусная с выкатным ящиком для Стенки "Антошка". Размеры 480х440х1000 Возможные цвета светло-синий, салатовый, желтый, манго или бук натур.</t>
  </si>
  <si>
    <t>Голубой - 3160
Салатовый - 39316</t>
  </si>
  <si>
    <t>Секция 4-х ярусная с выкатным ящиком для Стенки "Антошка". Размеры 480х440х1300 
Возможные цвета светло-синий, салатовый, желтый, манго или бук натур.</t>
  </si>
  <si>
    <t>Манго - 35801
Салатовый - 28901</t>
  </si>
  <si>
    <t>Уголок живой природы. Размеры 1320х600х1480 Возможные цвета светло-синий, салатовый, желтый, манго или бук натур.</t>
  </si>
  <si>
    <t>Голубой - 35908
Клен Танзай - 48878</t>
  </si>
  <si>
    <t>Стеллаж 2-х сторонний игровой. Размеры 482х420х800 Возможные цвета светло-синий, салатовый, желтый, манго или бук натур.</t>
  </si>
  <si>
    <t>И г р о в а я   м е б е л ь</t>
  </si>
  <si>
    <t>Клен Танзай, голубой, красный, салатовый - 48857
Клен Танзай, голубой, желтый - 48858</t>
  </si>
  <si>
    <t>Кухня «Двойка». Материал: ЛДСП. Размеры: 877х420х1071</t>
  </si>
  <si>
    <t>Клен Танзай, желтый, голубой, оранжевый - 48859
Клен Танзай, желтый, салатовый - 48860</t>
  </si>
  <si>
    <t>Кухня «Тройка». Материал: ЛДСП. Размеры: 1300х420х1100</t>
  </si>
  <si>
    <t>Кухня «Четверка». Материал ЛДСП. Размеры 1680х860х1230 мм. Цвета бук-голубой-желтый-оранжевый</t>
  </si>
  <si>
    <t>Магазин игровой. Материал: ЛДСП. Размеры: 840х560х1250</t>
  </si>
  <si>
    <t xml:space="preserve">Магазин с нанесенным рисунком 
Габаритные размеры  (ШхГхВ), мм: 840х560х1320
Модель на колесных подвижных опорах.  
Материал изготовления: ЛДСП  со стойким покрытием, толщина, мм: 16
Углы конструкции безопасно закруглены.
Рисунок на поверхности ЛДСП является твердым покрытием, нанесенным при помощи специального оборудования. </t>
  </si>
  <si>
    <t>Детская игровая зона - магазин с аркой ШхГхВ, мм: 1250х550х1700. Конструкция представляет собой два стеллажа сверху соединенных аркой, внизу - столом. Материал: ЛДСП толщиной 16 мм. Углы конструкции безопасно закруглены. Цвет мебели: Салатовый-Желтый-Красный-Голубой.</t>
  </si>
  <si>
    <t>Игровая зона "Магазин Голубая зимушка" с прилавком предназначена для сюжетно-ролевых занятий. Габаритные размеры изделия: 1173х916х1297 мм. Изделие состоит из двух секций, соединенных между собой узкой полкой. В верхней части большой секции установлен декоративный элемент. Низкая секция, имитирующая прилавок, имеет одну прямую полку . Высокая секция имеет полки для размещения предметов, имитирующих товар.
Материал ЛДСП 16 мм. Цветовая гамма в сочетании Дуб выбеленный, голубой, салатовый.  Видимые торцы деталей облицованы кромкой ПВХ 2/0,4 мм.</t>
  </si>
  <si>
    <t>Салатовый, желтый - 27689
Белый, голубой - 38801</t>
  </si>
  <si>
    <t>Больница игровая (6 предметов). Материал: ЛДСП. Размеры: комплект</t>
  </si>
  <si>
    <t>Уголок ряжения. Материал: ЛДСП. Размеры: 1050х300х1100</t>
  </si>
  <si>
    <t>Желтый, красный - 3342
Желтый, голубой - 47648</t>
  </si>
  <si>
    <t>Вешалка ряжения. Материал: ЛДСП. Размеры: 630х420х850</t>
  </si>
  <si>
    <t>Театральный уголок. Материал: ЛДСП. Размеры: 1370х560х1400</t>
  </si>
  <si>
    <t>Уголок ИЗО. Материал: ЛДСП. Размеры: 1700х450х1350</t>
  </si>
  <si>
    <t>Детская игровая зона - горка. Габаритные размеры горки (ШхГхВ), мм: 1560х800х1000 Горка имеет небольшую верхнюю площадку с огорождением, лестницу для подъема на площадку состоящую  из двух ступенек и скат с бортиком. 
Высота огорождения площадки, мм: 600 Площадка горки имеет огорождение с трех сторон. Материал изготовления: ЛДСП, кромка, толщина, мм: 2 Углы конструкции безопасно закруглены. Цвет мебели: красный, голубой, желтый,салатовый</t>
  </si>
  <si>
    <t xml:space="preserve">Игровая зона (Автомобиль) 
Габаритные размеры конструкции (ШхГхВ), мм: 1200х580х520
Рисунок на поверхности ЛДСП является твердым покрытием, нанесенным при помощи специального оборудования. 
Материал: ламинированное ДСП со стойким покрытием, защищенным противоударной кромкой ПВХ. </t>
  </si>
  <si>
    <t>Игровая зона (Автобус) 
Конструкция представляет собой автобус. Задняя стенка имеет три отверстия "окна". Правая и левая стороны имеют отверстия "окна". На фасаде внизу прикреплены детали-колеса. Внутри расположены две скамейки. Автобус оснащен всей необходимой атрибутикой: руль крутится, есть фары, колеса и сидения для 4-ёх пассажиров и водителя. 
Габаритные размеры  (ШхГхВ), мм: 1500х600х830
Материал изготовления: ЛДСП  со стойким покрытием против воздействия воды и моющих, дезинфицирующих средств, толщина, мм: 16
Боковая противоударная кромка изготовлена из гибкого ПВХ профиля</t>
  </si>
  <si>
    <t>Игровая зона с рисунком (Катер)
Габаритные размеры  (ШхГхВ), мм: 1300х600х420
Рисунок на поверхности ЛДСП является твердым покрытием, нанесенным при помощи специального оборудования. 
Материал изготовления: ЛДСП  со стойким покрытием, толщина, мм: 16</t>
  </si>
  <si>
    <t>Игровой уголок "спальня"
Кровать 700х300х310 мм, 
Стеллаж угловой 340х340х872 мм, 
Стеллаж 1250х340х872 мм, 
Пенал для одежды 400х404х1200 мм. 
Цвет стойки Клен Танзай, фасады голубые, полки салатовые</t>
  </si>
  <si>
    <r>
      <t xml:space="preserve">Синий, желтый - 11896 </t>
    </r>
    <r>
      <rPr>
        <b/>
        <sz val="14"/>
        <color rgb="FFFF000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Синий, салатовый - 29256
Салатовый, желтый - 30672</t>
    </r>
  </si>
  <si>
    <t>Стеллаж игровой "Трюмо"
750х346х1128</t>
  </si>
  <si>
    <t>Игровой уголок "Парикмахерская"
850х330х900</t>
  </si>
  <si>
    <t>Игровая зона "Парикмахерская Цветок".
В комплект входит пуфик для посетителей. Размер пуфика: 35 х 40 см
 Материал: ламинированное ДСП толщиной 16 мм со стойким покрытием против воздействия воды и моющих, дезинфицирующих средств, противоударная кромка ПВХ толщиной 2 мм. 
Размеры: (70см х 37 см х 112 см).
Возраст: (от 3-х лет)*.</t>
  </si>
  <si>
    <t>Игровая зона -  Парикмахерская  
Размеры (ДхГхВ), мм: 1200х300х1100
В комплект входят трюмо и стул.  
Материал: ЛДСП  со стойким покрытием против воздействия воды и моющих, дезинфицирующих средств, толщиной 16 мм 
Боковая противоударная кромка изготовлена из гибкого ПВХ профиля 
Углы конструкции безопасно закруглены.</t>
  </si>
  <si>
    <t>Желтый, зеленый - 38159
Манго, салатовый - 51871</t>
  </si>
  <si>
    <t>Стеллаж полка для игрушек и поделок настенный
728х136х764</t>
  </si>
  <si>
    <t>Планшет для рисования песком с крышкой и с подсветкой RGB Размер 670х520х118мм</t>
  </si>
  <si>
    <t>Стол для рисования песком с крышкой и с подсветкой RGB Размер 670х520мм Регулируемые ножки 420-580мм</t>
  </si>
  <si>
    <t>Салатовый, розовый, голубой - 19622
Салатовый - 29329
Желтый, голубой - 38492
Салатовый, голубой - 30593</t>
  </si>
  <si>
    <t>Стол игровой "центр воды и песка"
950х460х600</t>
  </si>
  <si>
    <t>Клен, синий, желый - 15325
Голубой, салатовый - 39483</t>
  </si>
  <si>
    <t>Стеллаж-витрина книжная с дверцей
800х400х1200</t>
  </si>
  <si>
    <t>Голубой - 35739
Салатовый - 52640</t>
  </si>
  <si>
    <t>Игровой модуль Киоск
800х500х1330</t>
  </si>
  <si>
    <t>Клен - 48880
Голубой - 34768
Желтый - 51807
Манго - 51805
Салатовый - 51806</t>
  </si>
  <si>
    <t>Стеллаж для игрушек открытый
1000х400х1280</t>
  </si>
  <si>
    <t>Салатовый, голубой - 24244
Голубой, желтый - 38494
Клен, голубой, желтый - 48974
Клен, салатовый - 48976
Клен, голубой, желтый, салатовый - 48977</t>
  </si>
  <si>
    <t>Уголок природы. Материал: ЛДСП. Размеры: 1700х420х1300</t>
  </si>
  <si>
    <t>Желтый, зеленый - 30253
Голубой, белый - 30252</t>
  </si>
  <si>
    <t>Игровой уголок природы. Габаритные размеры конструкции 3210х470х1320 мм. Конструкция состоит из трех предметов (две тумбы, стойка для цветов)                Стойка для цветов: фигурной формы имеет четыре полочки, расположенные в трех уровнях (нижний уровень - одна полка, средний уровень две полки, верхний уровень - одна полка).  Тумба представляет собой: стол-тумбу, в нижней части две распашные двери, в внутри полка, с боку две открытые полочки.  На столешнице закреплен по краю декоративный щит, на котором в шахматном порядке располагаются по три полки, для цветов.  Материал ЛДСП 16 мм. Кромка 2 мм. Основной цвет - Салатный + желтый.</t>
  </si>
  <si>
    <t>Уголок дежурств узкий. Материал: ЛДСП. Размеры: 420х320х1300</t>
  </si>
  <si>
    <t>Уголок для спортинвентаря. Материал: ЛДСП. Размеры: 420х420х1300</t>
  </si>
  <si>
    <t>Дидактический стол. Материалы: ЛДСП. Размеры: 1800х450х680</t>
  </si>
  <si>
    <t>Дидактический двухсторонний стол. Размеры 1800х680х600 мм. Материалы: ЛДСП голубой, желтый, салатовый. Бортики по двум длинным сторонам столешницы. Стол с 2 корзинами для дидактического материала, на столе имеются 2 съемных ящика и съемная горка.</t>
  </si>
  <si>
    <t>Дидактический стол с наполнением. ЛДСП. Размеры 2100x520x860 мм</t>
  </si>
  <si>
    <t>Игровая зона "Спальня-Жарки"
состоит из: игрового пеленального комода (400х300х650), игровой кроватки-качалки (400х700). В комоде расположены четыре полки, две из которых закрываются дверцей, и две открытые полки. Материал ЛДСП 16 мм. Цветовая гамма в сочетании Дуб выбеленный, зеленые и оранжевые оттенки. Видимые торцы деталей облицованы кромкой ПВХ 2/0,4 мм.</t>
  </si>
  <si>
    <t>Голубой, желтый - 30248
Салатовый, желтый - 29284</t>
  </si>
  <si>
    <t>Игровая зона - спальня. Комплектация: трюмо - 1 шт. Размеры 360х330х900 мм, кровать для кукол  - 2 шт. Размеры 690х420х400 мм, Шкаф 3-х створчатый - 1 шт. Размеры 870х420х970 мм. Материал изготовления мебели ЛДСП 16 мм.</t>
  </si>
  <si>
    <t>Стулья</t>
  </si>
  <si>
    <t>Цена</t>
  </si>
  <si>
    <t>Столы</t>
  </si>
  <si>
    <t>Вернуться к оглавлению</t>
  </si>
  <si>
    <t>6. Стулья</t>
  </si>
  <si>
    <t>7. Столы</t>
  </si>
  <si>
    <t>8. Шкафы</t>
  </si>
  <si>
    <t>9. Скамьи</t>
  </si>
  <si>
    <t>10. Кровати и тумбы</t>
  </si>
  <si>
    <t>11. Стенки и стеллажи</t>
  </si>
  <si>
    <t>12. Игровая мебель</t>
  </si>
  <si>
    <t>2. Мебель для дошкольных учреждений №2</t>
  </si>
  <si>
    <t>Прайс-лист "Мебель для детского сада"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</si>
</sst>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&quot;р.&quot;"/>
    <numFmt numFmtId="165" formatCode="#,##0.00&quot;р.&quot;"/>
    <numFmt numFmtId="166" formatCode="_-* #,##0.00&quot;р.&quot;_-;\-* #,##0.00&quot;р.&quot;_-;_-* &quot;-&quot;??&quot;р.&quot;_-;_-@_-"/>
    <numFmt numFmtId="167" formatCode="_-* #,##0.00\ _₽_-;\-* #,##0.00\ _₽_-;_-* &quot;-&quot;??\ _₽_-;_-@_-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name val="Arial Cyr"/>
    </font>
    <font>
      <u/>
      <sz val="10"/>
      <color theme="10"/>
      <name val="Arial Cyr"/>
    </font>
    <font>
      <b/>
      <sz val="14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u/>
      <sz val="7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b/>
      <sz val="7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6"/>
      <color theme="1"/>
      <name val="Arial"/>
      <family val="2"/>
      <charset val="204"/>
    </font>
    <font>
      <b/>
      <sz val="14"/>
      <color theme="5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theme="10"/>
      <name val="Arial"/>
      <family val="2"/>
      <charset val="204"/>
    </font>
    <font>
      <sz val="8"/>
      <name val="Arial"/>
      <family val="2"/>
    </font>
    <font>
      <sz val="12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0"/>
      <name val="Arial"/>
      <family val="2"/>
      <charset val="204"/>
    </font>
    <font>
      <sz val="10"/>
      <name val="Arial"/>
      <family val="2"/>
      <charset val="204"/>
    </font>
    <font>
      <sz val="14"/>
      <color theme="1"/>
      <name val="Arial"/>
      <family val="2"/>
      <charset val="204"/>
    </font>
    <font>
      <sz val="6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u/>
      <sz val="7"/>
      <color theme="1"/>
      <name val="Arial"/>
      <family val="2"/>
      <charset val="204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8"/>
      <color theme="1"/>
      <name val="Calibri"/>
      <family val="2"/>
      <charset val="204"/>
      <scheme val="minor"/>
    </font>
    <font>
      <u/>
      <sz val="6.5"/>
      <color theme="1"/>
      <name val="Calibri"/>
      <family val="2"/>
      <scheme val="minor"/>
    </font>
    <font>
      <b/>
      <u/>
      <sz val="6.5"/>
      <color theme="1"/>
      <name val="Arial"/>
      <family val="2"/>
      <charset val="204"/>
    </font>
    <font>
      <b/>
      <u/>
      <sz val="11"/>
      <color theme="1"/>
      <name val="Calibri"/>
      <family val="2"/>
      <scheme val="minor"/>
    </font>
    <font>
      <u/>
      <sz val="6"/>
      <color theme="1"/>
      <name val="Arial"/>
      <family val="2"/>
      <charset val="204"/>
    </font>
    <font>
      <u/>
      <sz val="6.8"/>
      <color theme="1"/>
      <name val="Arial"/>
      <family val="2"/>
      <charset val="204"/>
    </font>
    <font>
      <u/>
      <sz val="12"/>
      <color theme="1"/>
      <name val="Arial"/>
      <family val="2"/>
      <charset val="204"/>
    </font>
    <font>
      <u/>
      <sz val="7"/>
      <color theme="1"/>
      <name val="Calibri"/>
      <family val="2"/>
      <scheme val="minor"/>
    </font>
    <font>
      <u/>
      <sz val="5"/>
      <color theme="1"/>
      <name val="Arial"/>
      <family val="2"/>
      <charset val="204"/>
    </font>
    <font>
      <u/>
      <sz val="8"/>
      <color theme="1"/>
      <name val="Calibri"/>
      <family val="2"/>
      <scheme val="minor"/>
    </font>
    <font>
      <b/>
      <u/>
      <sz val="7"/>
      <color theme="1"/>
      <name val="Calibri"/>
      <family val="2"/>
      <scheme val="minor"/>
    </font>
    <font>
      <b/>
      <u/>
      <sz val="7"/>
      <color theme="1"/>
      <name val="Calibri"/>
      <family val="2"/>
      <charset val="204"/>
      <scheme val="minor"/>
    </font>
    <font>
      <b/>
      <u/>
      <sz val="11"/>
      <color rgb="FFC00000"/>
      <name val="Arial"/>
      <family val="2"/>
      <charset val="204"/>
    </font>
    <font>
      <b/>
      <u/>
      <sz val="16"/>
      <color theme="1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1"/>
      <color rgb="FF0070C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CC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 tint="0.499984740745262"/>
      </bottom>
      <diagonal/>
    </border>
    <border>
      <left/>
      <right/>
      <top style="thin">
        <color theme="0" tint="-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/>
      <top style="thin">
        <color theme="1" tint="0.499984740745262"/>
      </top>
      <bottom style="thin">
        <color theme="1" tint="0.499984740745262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9" fillId="0" borderId="0"/>
    <xf numFmtId="0" fontId="1" fillId="0" borderId="0"/>
    <xf numFmtId="166" fontId="1" fillId="0" borderId="0" applyFont="0" applyFill="0" applyBorder="0" applyAlignment="0" applyProtection="0"/>
  </cellStyleXfs>
  <cellXfs count="381">
    <xf numFmtId="0" fontId="0" fillId="0" borderId="0" xfId="0"/>
    <xf numFmtId="164" fontId="10" fillId="0" borderId="0" xfId="0" applyNumberFormat="1" applyFont="1" applyAlignment="1">
      <alignment horizontal="center" vertical="center"/>
    </xf>
    <xf numFmtId="164" fontId="11" fillId="2" borderId="1" xfId="0" applyNumberFormat="1" applyFont="1" applyFill="1" applyBorder="1" applyAlignment="1">
      <alignment vertical="center"/>
    </xf>
    <xf numFmtId="164" fontId="11" fillId="0" borderId="1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26" xfId="0" applyNumberFormat="1" applyFont="1" applyBorder="1" applyAlignment="1">
      <alignment vertical="center"/>
    </xf>
    <xf numFmtId="164" fontId="10" fillId="0" borderId="25" xfId="0" applyNumberFormat="1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6" fillId="0" borderId="29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6" fillId="0" borderId="10" xfId="0" applyFont="1" applyBorder="1" applyAlignment="1">
      <alignment vertical="top"/>
    </xf>
    <xf numFmtId="0" fontId="17" fillId="4" borderId="7" xfId="2" applyFont="1" applyFill="1" applyBorder="1"/>
    <xf numFmtId="0" fontId="18" fillId="4" borderId="7" xfId="1" quotePrefix="1" applyFont="1" applyFill="1" applyBorder="1" applyAlignment="1">
      <alignment vertical="center"/>
    </xf>
    <xf numFmtId="0" fontId="8" fillId="4" borderId="7" xfId="4" applyFont="1" applyFill="1" applyBorder="1" applyAlignment="1">
      <alignment vertical="center"/>
    </xf>
    <xf numFmtId="0" fontId="22" fillId="0" borderId="0" xfId="1" applyFont="1" applyFill="1" applyBorder="1" applyAlignment="1">
      <alignment vertical="center" wrapText="1"/>
    </xf>
    <xf numFmtId="0" fontId="21" fillId="4" borderId="0" xfId="2" applyFont="1" applyFill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21" fillId="4" borderId="3" xfId="2" applyFont="1" applyFill="1" applyBorder="1" applyAlignment="1">
      <alignment horizontal="center" vertical="center"/>
    </xf>
    <xf numFmtId="0" fontId="21" fillId="4" borderId="3" xfId="2" applyFont="1" applyFill="1" applyBorder="1" applyAlignment="1">
      <alignment horizontal="center" vertical="top"/>
    </xf>
    <xf numFmtId="0" fontId="21" fillId="4" borderId="0" xfId="2" applyFont="1" applyFill="1" applyAlignment="1">
      <alignment horizontal="center" vertical="top"/>
    </xf>
    <xf numFmtId="0" fontId="21" fillId="0" borderId="0" xfId="2" applyFont="1" applyAlignment="1">
      <alignment vertical="top"/>
    </xf>
    <xf numFmtId="0" fontId="24" fillId="0" borderId="0" xfId="2" applyFont="1"/>
    <xf numFmtId="0" fontId="24" fillId="0" borderId="6" xfId="2" applyFont="1" applyBorder="1"/>
    <xf numFmtId="0" fontId="25" fillId="4" borderId="8" xfId="4" applyFont="1" applyFill="1" applyBorder="1" applyAlignment="1">
      <alignment vertical="center"/>
    </xf>
    <xf numFmtId="0" fontId="24" fillId="4" borderId="6" xfId="2" applyFont="1" applyFill="1" applyBorder="1"/>
    <xf numFmtId="0" fontId="23" fillId="4" borderId="8" xfId="4" applyFont="1" applyFill="1" applyBorder="1" applyAlignment="1">
      <alignment vertical="center"/>
    </xf>
    <xf numFmtId="0" fontId="24" fillId="4" borderId="7" xfId="2" applyFont="1" applyFill="1" applyBorder="1"/>
    <xf numFmtId="0" fontId="24" fillId="4" borderId="29" xfId="2" applyFont="1" applyFill="1" applyBorder="1"/>
    <xf numFmtId="0" fontId="24" fillId="4" borderId="2" xfId="2" applyFont="1" applyFill="1" applyBorder="1"/>
    <xf numFmtId="0" fontId="23" fillId="4" borderId="5" xfId="4" applyFont="1" applyFill="1" applyBorder="1" applyAlignment="1">
      <alignment vertical="center"/>
    </xf>
    <xf numFmtId="164" fontId="11" fillId="2" borderId="1" xfId="0" applyNumberFormat="1" applyFont="1" applyFill="1" applyBorder="1" applyAlignment="1">
      <alignment horizontal="center" vertical="center"/>
    </xf>
    <xf numFmtId="0" fontId="26" fillId="0" borderId="27" xfId="0" applyFont="1" applyBorder="1" applyAlignment="1">
      <alignment vertical="center"/>
    </xf>
    <xf numFmtId="0" fontId="26" fillId="0" borderId="21" xfId="0" applyFont="1" applyBorder="1" applyAlignment="1">
      <alignment vertical="center"/>
    </xf>
    <xf numFmtId="0" fontId="26" fillId="0" borderId="22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6" fillId="0" borderId="25" xfId="0" applyFont="1" applyBorder="1" applyAlignment="1">
      <alignment vertical="center"/>
    </xf>
    <xf numFmtId="0" fontId="26" fillId="0" borderId="26" xfId="0" applyFont="1" applyBorder="1" applyAlignment="1">
      <alignment vertical="center"/>
    </xf>
    <xf numFmtId="0" fontId="27" fillId="0" borderId="26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15" xfId="0" applyFont="1" applyBorder="1" applyAlignment="1">
      <alignment vertical="center"/>
    </xf>
    <xf numFmtId="0" fontId="27" fillId="0" borderId="25" xfId="0" applyFont="1" applyBorder="1" applyAlignment="1">
      <alignment vertical="center"/>
    </xf>
    <xf numFmtId="0" fontId="11" fillId="0" borderId="26" xfId="0" applyFont="1" applyBorder="1" applyAlignment="1">
      <alignment horizontal="center" vertical="center"/>
    </xf>
    <xf numFmtId="164" fontId="29" fillId="0" borderId="26" xfId="0" applyNumberFormat="1" applyFont="1" applyBorder="1" applyAlignment="1">
      <alignment vertical="center"/>
    </xf>
    <xf numFmtId="164" fontId="29" fillId="0" borderId="0" xfId="0" applyNumberFormat="1" applyFont="1" applyAlignment="1">
      <alignment vertical="center"/>
    </xf>
    <xf numFmtId="164" fontId="29" fillId="0" borderId="25" xfId="0" applyNumberFormat="1" applyFont="1" applyBorder="1" applyAlignment="1">
      <alignment vertical="center"/>
    </xf>
    <xf numFmtId="0" fontId="11" fillId="0" borderId="25" xfId="0" applyFont="1" applyBorder="1" applyAlignment="1">
      <alignment horizontal="center" vertical="center"/>
    </xf>
    <xf numFmtId="0" fontId="27" fillId="0" borderId="26" xfId="0" applyFont="1" applyBorder="1" applyAlignment="1">
      <alignment horizontal="right" vertical="center"/>
    </xf>
    <xf numFmtId="164" fontId="30" fillId="0" borderId="26" xfId="0" applyNumberFormat="1" applyFont="1" applyBorder="1"/>
    <xf numFmtId="164" fontId="30" fillId="0" borderId="0" xfId="0" applyNumberFormat="1" applyFont="1"/>
    <xf numFmtId="164" fontId="30" fillId="0" borderId="25" xfId="0" applyNumberFormat="1" applyFont="1" applyBorder="1"/>
    <xf numFmtId="0" fontId="27" fillId="0" borderId="25" xfId="0" applyFont="1" applyBorder="1" applyAlignment="1">
      <alignment horizontal="right" vertical="center"/>
    </xf>
    <xf numFmtId="0" fontId="27" fillId="0" borderId="0" xfId="0" applyFont="1" applyAlignment="1">
      <alignment horizontal="right" vertical="center"/>
    </xf>
    <xf numFmtId="164" fontId="29" fillId="0" borderId="26" xfId="0" applyNumberFormat="1" applyFont="1" applyBorder="1" applyAlignment="1">
      <alignment vertical="top"/>
    </xf>
    <xf numFmtId="164" fontId="29" fillId="0" borderId="0" xfId="0" applyNumberFormat="1" applyFont="1" applyAlignment="1">
      <alignment vertical="top"/>
    </xf>
    <xf numFmtId="164" fontId="29" fillId="0" borderId="0" xfId="0" applyNumberFormat="1" applyFont="1"/>
    <xf numFmtId="164" fontId="11" fillId="2" borderId="1" xfId="0" applyNumberFormat="1" applyFont="1" applyFill="1" applyBorder="1"/>
    <xf numFmtId="164" fontId="29" fillId="0" borderId="27" xfId="0" applyNumberFormat="1" applyFont="1" applyBorder="1" applyAlignment="1">
      <alignment vertical="center"/>
    </xf>
    <xf numFmtId="164" fontId="29" fillId="0" borderId="21" xfId="0" applyNumberFormat="1" applyFont="1" applyBorder="1" applyAlignment="1">
      <alignment vertical="center"/>
    </xf>
    <xf numFmtId="164" fontId="29" fillId="0" borderId="22" xfId="0" applyNumberFormat="1" applyFont="1" applyBorder="1" applyAlignment="1">
      <alignment vertical="center"/>
    </xf>
    <xf numFmtId="164" fontId="30" fillId="2" borderId="0" xfId="0" applyNumberFormat="1" applyFont="1" applyFill="1"/>
    <xf numFmtId="164" fontId="30" fillId="0" borderId="21" xfId="0" applyNumberFormat="1" applyFont="1" applyBorder="1"/>
    <xf numFmtId="164" fontId="30" fillId="0" borderId="22" xfId="0" applyNumberFormat="1" applyFont="1" applyBorder="1"/>
    <xf numFmtId="164" fontId="31" fillId="0" borderId="1" xfId="0" applyNumberFormat="1" applyFont="1" applyBorder="1"/>
    <xf numFmtId="164" fontId="31" fillId="2" borderId="1" xfId="0" applyNumberFormat="1" applyFont="1" applyFill="1" applyBorder="1"/>
    <xf numFmtId="164" fontId="0" fillId="2" borderId="1" xfId="0" applyNumberFormat="1" applyFill="1" applyBorder="1"/>
    <xf numFmtId="164" fontId="10" fillId="0" borderId="27" xfId="0" applyNumberFormat="1" applyFont="1" applyBorder="1" applyAlignment="1">
      <alignment vertical="center"/>
    </xf>
    <xf numFmtId="164" fontId="10" fillId="0" borderId="21" xfId="0" applyNumberFormat="1" applyFont="1" applyBorder="1" applyAlignment="1">
      <alignment vertical="center"/>
    </xf>
    <xf numFmtId="164" fontId="10" fillId="0" borderId="22" xfId="0" applyNumberFormat="1" applyFont="1" applyBorder="1" applyAlignment="1">
      <alignment vertical="center"/>
    </xf>
    <xf numFmtId="164" fontId="32" fillId="0" borderId="26" xfId="0" applyNumberFormat="1" applyFont="1" applyBorder="1"/>
    <xf numFmtId="164" fontId="33" fillId="0" borderId="0" xfId="0" applyNumberFormat="1" applyFont="1"/>
    <xf numFmtId="164" fontId="29" fillId="0" borderId="25" xfId="0" applyNumberFormat="1" applyFont="1" applyBorder="1" applyAlignment="1">
      <alignment vertical="top"/>
    </xf>
    <xf numFmtId="164" fontId="35" fillId="2" borderId="0" xfId="0" applyNumberFormat="1" applyFont="1" applyFill="1"/>
    <xf numFmtId="0" fontId="26" fillId="0" borderId="40" xfId="0" applyFont="1" applyBorder="1" applyAlignment="1">
      <alignment vertical="center"/>
    </xf>
    <xf numFmtId="164" fontId="36" fillId="0" borderId="41" xfId="0" applyNumberFormat="1" applyFont="1" applyBorder="1" applyAlignment="1">
      <alignment vertical="center"/>
    </xf>
    <xf numFmtId="0" fontId="26" fillId="0" borderId="42" xfId="0" applyFont="1" applyBorder="1" applyAlignment="1">
      <alignment vertical="center"/>
    </xf>
    <xf numFmtId="0" fontId="9" fillId="0" borderId="42" xfId="0" applyFont="1" applyBorder="1" applyAlignment="1">
      <alignment vertical="center"/>
    </xf>
    <xf numFmtId="0" fontId="29" fillId="0" borderId="2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26" xfId="0" applyFont="1" applyBorder="1" applyAlignment="1">
      <alignment vertical="center"/>
    </xf>
    <xf numFmtId="0" fontId="29" fillId="0" borderId="25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26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1" fillId="0" borderId="25" xfId="0" applyFont="1" applyBorder="1" applyAlignment="1">
      <alignment vertical="center"/>
    </xf>
    <xf numFmtId="0" fontId="29" fillId="0" borderId="0" xfId="0" applyFont="1" applyAlignment="1">
      <alignment horizontal="left" vertical="center"/>
    </xf>
    <xf numFmtId="0" fontId="29" fillId="0" borderId="27" xfId="0" applyFont="1" applyBorder="1" applyAlignment="1">
      <alignment vertical="center"/>
    </xf>
    <xf numFmtId="0" fontId="29" fillId="0" borderId="21" xfId="0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0" fontId="27" fillId="0" borderId="0" xfId="0" applyFont="1" applyAlignment="1">
      <alignment horizontal="center" vertical="center"/>
    </xf>
    <xf numFmtId="0" fontId="29" fillId="0" borderId="16" xfId="0" applyFont="1" applyBorder="1" applyAlignment="1">
      <alignment vertical="center"/>
    </xf>
    <xf numFmtId="0" fontId="38" fillId="0" borderId="26" xfId="0" applyFont="1" applyBorder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25" xfId="0" applyFont="1" applyBorder="1" applyAlignment="1">
      <alignment vertical="center" wrapText="1"/>
    </xf>
    <xf numFmtId="0" fontId="10" fillId="0" borderId="0" xfId="0" applyFont="1" applyAlignment="1">
      <alignment horizontal="left" vertical="center"/>
    </xf>
    <xf numFmtId="164" fontId="38" fillId="0" borderId="26" xfId="0" applyNumberFormat="1" applyFont="1" applyBorder="1" applyAlignment="1">
      <alignment vertical="center" wrapText="1"/>
    </xf>
    <xf numFmtId="164" fontId="38" fillId="0" borderId="0" xfId="0" applyNumberFormat="1" applyFont="1" applyAlignment="1">
      <alignment vertical="center" wrapText="1"/>
    </xf>
    <xf numFmtId="164" fontId="38" fillId="0" borderId="25" xfId="0" applyNumberFormat="1" applyFont="1" applyBorder="1" applyAlignment="1">
      <alignment vertical="center" wrapText="1"/>
    </xf>
    <xf numFmtId="164" fontId="29" fillId="0" borderId="0" xfId="0" applyNumberFormat="1" applyFont="1" applyAlignment="1">
      <alignment horizontal="left" vertical="center"/>
    </xf>
    <xf numFmtId="164" fontId="11" fillId="0" borderId="1" xfId="0" applyNumberFormat="1" applyFont="1" applyBorder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0" fontId="36" fillId="0" borderId="41" xfId="0" applyFont="1" applyBorder="1" applyAlignment="1">
      <alignment vertical="center"/>
    </xf>
    <xf numFmtId="164" fontId="39" fillId="0" borderId="0" xfId="0" applyNumberFormat="1" applyFont="1"/>
    <xf numFmtId="164" fontId="30" fillId="0" borderId="0" xfId="0" applyNumberFormat="1" applyFont="1" applyAlignment="1">
      <alignment horizontal="right"/>
    </xf>
    <xf numFmtId="164" fontId="39" fillId="0" borderId="26" xfId="0" applyNumberFormat="1" applyFont="1" applyBorder="1"/>
    <xf numFmtId="164" fontId="11" fillId="0" borderId="1" xfId="0" applyNumberFormat="1" applyFont="1" applyBorder="1"/>
    <xf numFmtId="164" fontId="29" fillId="0" borderId="26" xfId="0" applyNumberFormat="1" applyFont="1" applyBorder="1"/>
    <xf numFmtId="164" fontId="29" fillId="0" borderId="25" xfId="0" applyNumberFormat="1" applyFont="1" applyBorder="1"/>
    <xf numFmtId="164" fontId="27" fillId="0" borderId="1" xfId="0" applyNumberFormat="1" applyFont="1" applyBorder="1"/>
    <xf numFmtId="164" fontId="41" fillId="0" borderId="26" xfId="0" applyNumberFormat="1" applyFont="1" applyBorder="1"/>
    <xf numFmtId="164" fontId="41" fillId="0" borderId="0" xfId="0" applyNumberFormat="1" applyFont="1"/>
    <xf numFmtId="164" fontId="41" fillId="0" borderId="25" xfId="0" applyNumberFormat="1" applyFont="1" applyBorder="1"/>
    <xf numFmtId="165" fontId="10" fillId="0" borderId="0" xfId="0" applyNumberFormat="1" applyFont="1" applyAlignment="1">
      <alignment horizontal="center" vertical="center"/>
    </xf>
    <xf numFmtId="165" fontId="10" fillId="0" borderId="25" xfId="0" applyNumberFormat="1" applyFont="1" applyBorder="1" applyAlignment="1">
      <alignment horizontal="center" vertical="center"/>
    </xf>
    <xf numFmtId="165" fontId="30" fillId="0" borderId="26" xfId="0" applyNumberFormat="1" applyFont="1" applyBorder="1"/>
    <xf numFmtId="165" fontId="30" fillId="0" borderId="0" xfId="0" applyNumberFormat="1" applyFont="1"/>
    <xf numFmtId="165" fontId="30" fillId="0" borderId="25" xfId="0" applyNumberFormat="1" applyFont="1" applyBorder="1"/>
    <xf numFmtId="165" fontId="29" fillId="0" borderId="26" xfId="0" applyNumberFormat="1" applyFont="1" applyBorder="1" applyAlignment="1">
      <alignment horizontal="left" vertical="center"/>
    </xf>
    <xf numFmtId="165" fontId="29" fillId="0" borderId="0" xfId="0" applyNumberFormat="1" applyFont="1" applyAlignment="1">
      <alignment horizontal="left" vertical="center"/>
    </xf>
    <xf numFmtId="165" fontId="29" fillId="0" borderId="25" xfId="0" applyNumberFormat="1" applyFont="1" applyBorder="1" applyAlignment="1">
      <alignment horizontal="left" vertical="center"/>
    </xf>
    <xf numFmtId="165" fontId="29" fillId="0" borderId="26" xfId="0" applyNumberFormat="1" applyFont="1" applyBorder="1" applyAlignment="1">
      <alignment vertical="center"/>
    </xf>
    <xf numFmtId="165" fontId="29" fillId="0" borderId="0" xfId="0" applyNumberFormat="1" applyFont="1" applyAlignment="1">
      <alignment vertical="center"/>
    </xf>
    <xf numFmtId="165" fontId="29" fillId="0" borderId="25" xfId="0" applyNumberFormat="1" applyFont="1" applyBorder="1" applyAlignment="1">
      <alignment vertical="center"/>
    </xf>
    <xf numFmtId="165" fontId="29" fillId="0" borderId="0" xfId="0" applyNumberFormat="1" applyFont="1"/>
    <xf numFmtId="165" fontId="27" fillId="0" borderId="1" xfId="0" applyNumberFormat="1" applyFont="1" applyBorder="1"/>
    <xf numFmtId="165" fontId="30" fillId="0" borderId="21" xfId="0" applyNumberFormat="1" applyFont="1" applyBorder="1"/>
    <xf numFmtId="165" fontId="30" fillId="0" borderId="22" xfId="0" applyNumberFormat="1" applyFont="1" applyBorder="1"/>
    <xf numFmtId="0" fontId="27" fillId="0" borderId="1" xfId="0" applyFont="1" applyBorder="1" applyAlignment="1">
      <alignment vertical="center"/>
    </xf>
    <xf numFmtId="164" fontId="35" fillId="0" borderId="0" xfId="0" applyNumberFormat="1" applyFont="1"/>
    <xf numFmtId="165" fontId="10" fillId="0" borderId="27" xfId="0" applyNumberFormat="1" applyFont="1" applyBorder="1" applyAlignment="1">
      <alignment vertical="center"/>
    </xf>
    <xf numFmtId="165" fontId="10" fillId="0" borderId="21" xfId="0" applyNumberFormat="1" applyFont="1" applyBorder="1" applyAlignment="1">
      <alignment vertical="center"/>
    </xf>
    <xf numFmtId="165" fontId="10" fillId="0" borderId="22" xfId="0" applyNumberFormat="1" applyFont="1" applyBorder="1" applyAlignment="1">
      <alignment vertical="center"/>
    </xf>
    <xf numFmtId="165" fontId="0" fillId="0" borderId="1" xfId="0" applyNumberFormat="1" applyBorder="1"/>
    <xf numFmtId="0" fontId="9" fillId="0" borderId="2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36" fillId="0" borderId="25" xfId="0" applyFont="1" applyBorder="1" applyAlignment="1">
      <alignment vertical="center"/>
    </xf>
    <xf numFmtId="0" fontId="36" fillId="0" borderId="26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45" fillId="0" borderId="2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25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15" xfId="0" applyFont="1" applyBorder="1" applyAlignment="1">
      <alignment vertical="center"/>
    </xf>
    <xf numFmtId="0" fontId="29" fillId="0" borderId="44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40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29" fillId="0" borderId="28" xfId="0" applyFont="1" applyBorder="1" applyAlignment="1">
      <alignment vertical="center"/>
    </xf>
    <xf numFmtId="0" fontId="29" fillId="0" borderId="14" xfId="0" applyFont="1" applyBorder="1" applyAlignment="1">
      <alignment vertical="center"/>
    </xf>
    <xf numFmtId="0" fontId="29" fillId="0" borderId="39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0" fontId="29" fillId="0" borderId="35" xfId="0" applyFont="1" applyBorder="1" applyAlignment="1">
      <alignment vertical="center"/>
    </xf>
    <xf numFmtId="0" fontId="5" fillId="3" borderId="0" xfId="1" applyFill="1" applyBorder="1" applyAlignment="1">
      <alignment vertical="center" wrapText="1"/>
    </xf>
    <xf numFmtId="0" fontId="9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0" xfId="0" applyFont="1" applyFill="1" applyAlignment="1">
      <alignment vertical="center"/>
    </xf>
    <xf numFmtId="0" fontId="5" fillId="4" borderId="0" xfId="1" applyFill="1" applyBorder="1" applyAlignment="1">
      <alignment vertical="center" wrapText="1"/>
    </xf>
    <xf numFmtId="0" fontId="14" fillId="4" borderId="0" xfId="0" applyFont="1" applyFill="1" applyAlignment="1">
      <alignment vertical="center"/>
    </xf>
    <xf numFmtId="0" fontId="13" fillId="0" borderId="1" xfId="0" applyFont="1" applyBorder="1" applyAlignment="1">
      <alignment vertical="center"/>
    </xf>
    <xf numFmtId="0" fontId="5" fillId="3" borderId="30" xfId="1" applyFill="1" applyBorder="1" applyAlignment="1">
      <alignment vertical="center" wrapText="1"/>
    </xf>
    <xf numFmtId="0" fontId="47" fillId="0" borderId="0" xfId="9" applyFont="1" applyAlignment="1">
      <alignment horizontal="center" vertical="center"/>
    </xf>
    <xf numFmtId="0" fontId="47" fillId="0" borderId="1" xfId="9" applyFont="1" applyBorder="1" applyAlignment="1">
      <alignment horizontal="center" vertical="center" wrapText="1"/>
    </xf>
    <xf numFmtId="0" fontId="47" fillId="0" borderId="1" xfId="9" applyFont="1" applyBorder="1" applyAlignment="1">
      <alignment horizontal="center" vertical="center"/>
    </xf>
    <xf numFmtId="166" fontId="47" fillId="0" borderId="1" xfId="10" applyFont="1" applyFill="1" applyBorder="1" applyAlignment="1">
      <alignment horizontal="center" vertical="center" wrapText="1"/>
    </xf>
    <xf numFmtId="0" fontId="47" fillId="0" borderId="1" xfId="9" applyFont="1" applyBorder="1" applyAlignment="1">
      <alignment horizontal="center" vertical="top" wrapText="1"/>
    </xf>
    <xf numFmtId="0" fontId="48" fillId="0" borderId="1" xfId="9" applyFont="1" applyBorder="1" applyAlignment="1">
      <alignment horizontal="center" vertical="top" wrapText="1"/>
    </xf>
    <xf numFmtId="0" fontId="1" fillId="0" borderId="0" xfId="9"/>
    <xf numFmtId="166" fontId="47" fillId="0" borderId="1" xfId="10" applyFont="1" applyFill="1" applyBorder="1" applyAlignment="1">
      <alignment horizontal="center" vertical="center"/>
    </xf>
    <xf numFmtId="4" fontId="47" fillId="0" borderId="1" xfId="9" applyNumberFormat="1" applyFont="1" applyBorder="1" applyAlignment="1">
      <alignment horizontal="center" vertical="center"/>
    </xf>
    <xf numFmtId="0" fontId="47" fillId="0" borderId="1" xfId="9" applyFont="1" applyBorder="1"/>
    <xf numFmtId="166" fontId="47" fillId="0" borderId="1" xfId="9" applyNumberFormat="1" applyFont="1" applyBorder="1" applyAlignment="1">
      <alignment horizontal="center" vertical="center"/>
    </xf>
    <xf numFmtId="166" fontId="47" fillId="0" borderId="1" xfId="9" applyNumberFormat="1" applyFont="1" applyBorder="1" applyAlignment="1">
      <alignment horizontal="center" vertical="center" wrapText="1"/>
    </xf>
    <xf numFmtId="166" fontId="47" fillId="0" borderId="0" xfId="10" applyFont="1" applyAlignment="1">
      <alignment horizontal="center" vertical="center"/>
    </xf>
    <xf numFmtId="0" fontId="48" fillId="0" borderId="1" xfId="9" applyFont="1" applyBorder="1" applyAlignment="1">
      <alignment horizontal="left" vertical="top" wrapText="1"/>
    </xf>
    <xf numFmtId="0" fontId="46" fillId="0" borderId="1" xfId="9" applyFont="1" applyBorder="1" applyAlignment="1">
      <alignment horizontal="center" vertical="center"/>
    </xf>
    <xf numFmtId="166" fontId="50" fillId="0" borderId="1" xfId="10" applyFont="1" applyFill="1" applyBorder="1" applyAlignment="1">
      <alignment horizontal="center" vertical="center"/>
    </xf>
    <xf numFmtId="0" fontId="50" fillId="0" borderId="1" xfId="9" applyFont="1" applyBorder="1" applyAlignment="1">
      <alignment horizontal="center" vertical="center" wrapText="1"/>
    </xf>
    <xf numFmtId="166" fontId="50" fillId="0" borderId="1" xfId="10" applyFont="1" applyFill="1" applyBorder="1" applyAlignment="1">
      <alignment horizontal="center" vertical="center" wrapText="1"/>
    </xf>
    <xf numFmtId="0" fontId="47" fillId="5" borderId="0" xfId="9" applyFont="1" applyFill="1" applyAlignment="1">
      <alignment horizontal="center" vertical="center"/>
    </xf>
    <xf numFmtId="0" fontId="47" fillId="6" borderId="0" xfId="9" applyFont="1" applyFill="1" applyAlignment="1">
      <alignment horizontal="center" vertical="center"/>
    </xf>
    <xf numFmtId="0" fontId="47" fillId="7" borderId="0" xfId="9" applyFont="1" applyFill="1" applyAlignment="1">
      <alignment horizontal="center" vertical="center"/>
    </xf>
    <xf numFmtId="0" fontId="47" fillId="8" borderId="0" xfId="9" applyFont="1" applyFill="1" applyAlignment="1">
      <alignment horizontal="center" vertical="center"/>
    </xf>
    <xf numFmtId="0" fontId="47" fillId="9" borderId="0" xfId="9" applyFont="1" applyFill="1" applyAlignment="1">
      <alignment horizontal="center" vertical="center"/>
    </xf>
    <xf numFmtId="0" fontId="47" fillId="2" borderId="0" xfId="9" applyFont="1" applyFill="1" applyAlignment="1">
      <alignment horizontal="center" vertical="center"/>
    </xf>
    <xf numFmtId="0" fontId="50" fillId="0" borderId="1" xfId="9" applyFont="1" applyBorder="1" applyAlignment="1">
      <alignment horizontal="center" vertical="center"/>
    </xf>
    <xf numFmtId="0" fontId="1" fillId="0" borderId="1" xfId="9" applyBorder="1"/>
    <xf numFmtId="166" fontId="50" fillId="0" borderId="1" xfId="9" applyNumberFormat="1" applyFont="1" applyBorder="1" applyAlignment="1">
      <alignment horizontal="center" vertical="center"/>
    </xf>
    <xf numFmtId="0" fontId="47" fillId="0" borderId="1" xfId="9" applyFont="1" applyBorder="1" applyAlignment="1">
      <alignment horizontal="left" vertical="center" wrapText="1"/>
    </xf>
    <xf numFmtId="0" fontId="52" fillId="0" borderId="1" xfId="9" applyFont="1" applyBorder="1" applyAlignment="1">
      <alignment horizontal="center" vertical="center" wrapText="1"/>
    </xf>
    <xf numFmtId="4" fontId="50" fillId="0" borderId="1" xfId="9" applyNumberFormat="1" applyFont="1" applyBorder="1" applyAlignment="1">
      <alignment horizontal="center" vertical="center"/>
    </xf>
    <xf numFmtId="166" fontId="50" fillId="0" borderId="1" xfId="10" applyFont="1" applyBorder="1" applyAlignment="1">
      <alignment horizontal="center" vertical="center"/>
    </xf>
    <xf numFmtId="4" fontId="55" fillId="0" borderId="0" xfId="9" applyNumberFormat="1" applyFont="1" applyAlignment="1">
      <alignment horizontal="center" vertical="center"/>
    </xf>
    <xf numFmtId="166" fontId="46" fillId="0" borderId="1" xfId="10" applyFont="1" applyBorder="1" applyAlignment="1">
      <alignment horizontal="center" vertical="center"/>
    </xf>
    <xf numFmtId="167" fontId="47" fillId="0" borderId="1" xfId="9" applyNumberFormat="1" applyFont="1" applyBorder="1" applyAlignment="1">
      <alignment horizontal="center" vertical="center"/>
    </xf>
    <xf numFmtId="0" fontId="50" fillId="0" borderId="1" xfId="10" applyNumberFormat="1" applyFont="1" applyFill="1" applyBorder="1" applyAlignment="1">
      <alignment horizontal="center" vertical="center"/>
    </xf>
    <xf numFmtId="0" fontId="47" fillId="0" borderId="0" xfId="10" applyNumberFormat="1" applyFont="1" applyAlignment="1">
      <alignment horizontal="center" vertical="center"/>
    </xf>
    <xf numFmtId="0" fontId="46" fillId="0" borderId="1" xfId="10" applyNumberFormat="1" applyFont="1" applyBorder="1" applyAlignment="1">
      <alignment horizontal="center" vertical="center"/>
    </xf>
    <xf numFmtId="167" fontId="52" fillId="0" borderId="1" xfId="9" applyNumberFormat="1" applyFont="1" applyBorder="1" applyAlignment="1">
      <alignment horizontal="center" vertical="center" wrapText="1"/>
    </xf>
    <xf numFmtId="167" fontId="47" fillId="0" borderId="1" xfId="9" applyNumberFormat="1" applyFont="1" applyBorder="1" applyAlignment="1">
      <alignment horizontal="center" vertical="center" wrapText="1"/>
    </xf>
    <xf numFmtId="0" fontId="18" fillId="4" borderId="7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59" fillId="4" borderId="2" xfId="3" applyFont="1" applyFill="1" applyBorder="1" applyAlignment="1">
      <alignment vertical="center"/>
    </xf>
    <xf numFmtId="0" fontId="18" fillId="0" borderId="7" xfId="1" applyFont="1" applyBorder="1"/>
    <xf numFmtId="0" fontId="20" fillId="3" borderId="6" xfId="2" applyFont="1" applyFill="1" applyBorder="1" applyAlignment="1">
      <alignment horizontal="center" wrapText="1"/>
    </xf>
    <xf numFmtId="0" fontId="20" fillId="3" borderId="7" xfId="2" applyFont="1" applyFill="1" applyBorder="1" applyAlignment="1">
      <alignment horizontal="center" wrapText="1"/>
    </xf>
    <xf numFmtId="0" fontId="20" fillId="3" borderId="8" xfId="2" applyFont="1" applyFill="1" applyBorder="1" applyAlignment="1">
      <alignment horizontal="center" wrapText="1"/>
    </xf>
    <xf numFmtId="0" fontId="21" fillId="2" borderId="6" xfId="2" applyFont="1" applyFill="1" applyBorder="1" applyAlignment="1">
      <alignment horizontal="center" vertical="center"/>
    </xf>
    <xf numFmtId="0" fontId="21" fillId="2" borderId="7" xfId="2" applyFont="1" applyFill="1" applyBorder="1" applyAlignment="1">
      <alignment horizontal="center" vertical="center"/>
    </xf>
    <xf numFmtId="0" fontId="21" fillId="2" borderId="8" xfId="2" applyFont="1" applyFill="1" applyBorder="1" applyAlignment="1">
      <alignment horizontal="center" vertical="center"/>
    </xf>
    <xf numFmtId="0" fontId="21" fillId="4" borderId="0" xfId="2" applyFont="1" applyFill="1" applyAlignment="1">
      <alignment horizontal="center" vertical="center" wrapText="1"/>
    </xf>
    <xf numFmtId="0" fontId="21" fillId="4" borderId="4" xfId="2" applyFont="1" applyFill="1" applyBorder="1" applyAlignment="1">
      <alignment horizontal="center" vertical="center" wrapText="1"/>
    </xf>
    <xf numFmtId="0" fontId="22" fillId="4" borderId="0" xfId="3" applyFont="1" applyFill="1" applyBorder="1" applyAlignment="1">
      <alignment horizontal="center" vertical="center" wrapText="1"/>
    </xf>
    <xf numFmtId="0" fontId="22" fillId="4" borderId="4" xfId="3" applyFont="1" applyFill="1" applyBorder="1" applyAlignment="1">
      <alignment horizontal="center" vertical="center" wrapText="1"/>
    </xf>
    <xf numFmtId="0" fontId="21" fillId="4" borderId="2" xfId="2" applyFont="1" applyFill="1" applyBorder="1" applyAlignment="1">
      <alignment horizontal="center" vertical="top" wrapText="1"/>
    </xf>
    <xf numFmtId="0" fontId="21" fillId="4" borderId="5" xfId="2" applyFont="1" applyFill="1" applyBorder="1" applyAlignment="1">
      <alignment horizontal="center" vertical="top" wrapText="1"/>
    </xf>
    <xf numFmtId="0" fontId="20" fillId="2" borderId="6" xfId="2" applyFont="1" applyFill="1" applyBorder="1" applyAlignment="1">
      <alignment horizontal="center" vertical="center"/>
    </xf>
    <xf numFmtId="0" fontId="20" fillId="2" borderId="7" xfId="2" applyFont="1" applyFill="1" applyBorder="1" applyAlignment="1">
      <alignment horizontal="center" vertical="center"/>
    </xf>
    <xf numFmtId="0" fontId="20" fillId="2" borderId="8" xfId="2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5" fillId="3" borderId="6" xfId="1" applyFill="1" applyBorder="1" applyAlignment="1">
      <alignment horizontal="center" vertical="center" wrapText="1"/>
    </xf>
    <xf numFmtId="0" fontId="5" fillId="3" borderId="7" xfId="1" applyFill="1" applyBorder="1" applyAlignment="1">
      <alignment horizontal="center" vertical="center" wrapText="1"/>
    </xf>
    <xf numFmtId="0" fontId="5" fillId="3" borderId="8" xfId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left" vertical="top"/>
    </xf>
    <xf numFmtId="164" fontId="11" fillId="2" borderId="1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left" vertical="center"/>
    </xf>
    <xf numFmtId="165" fontId="29" fillId="0" borderId="26" xfId="0" applyNumberFormat="1" applyFont="1" applyBorder="1" applyAlignment="1">
      <alignment horizontal="left" vertical="center"/>
    </xf>
    <xf numFmtId="165" fontId="29" fillId="0" borderId="0" xfId="0" applyNumberFormat="1" applyFont="1" applyAlignment="1">
      <alignment horizontal="left" vertical="center"/>
    </xf>
    <xf numFmtId="165" fontId="29" fillId="0" borderId="25" xfId="0" applyNumberFormat="1" applyFont="1" applyBorder="1" applyAlignment="1">
      <alignment horizontal="left" vertical="center"/>
    </xf>
    <xf numFmtId="165" fontId="10" fillId="0" borderId="36" xfId="0" applyNumberFormat="1" applyFont="1" applyBorder="1" applyAlignment="1">
      <alignment horizontal="center" vertical="center"/>
    </xf>
    <xf numFmtId="165" fontId="10" fillId="0" borderId="37" xfId="0" applyNumberFormat="1" applyFont="1" applyBorder="1" applyAlignment="1">
      <alignment horizontal="center" vertical="center"/>
    </xf>
    <xf numFmtId="165" fontId="10" fillId="0" borderId="38" xfId="0" applyNumberFormat="1" applyFont="1" applyBorder="1" applyAlignment="1">
      <alignment horizontal="center" vertical="center"/>
    </xf>
    <xf numFmtId="165" fontId="10" fillId="0" borderId="27" xfId="0" applyNumberFormat="1" applyFont="1" applyBorder="1" applyAlignment="1">
      <alignment horizontal="center" vertical="center"/>
    </xf>
    <xf numFmtId="165" fontId="10" fillId="0" borderId="21" xfId="0" applyNumberFormat="1" applyFont="1" applyBorder="1" applyAlignment="1">
      <alignment horizontal="center" vertical="center"/>
    </xf>
    <xf numFmtId="165" fontId="10" fillId="0" borderId="22" xfId="0" applyNumberFormat="1" applyFont="1" applyBorder="1" applyAlignment="1">
      <alignment horizontal="center" vertical="center"/>
    </xf>
    <xf numFmtId="165" fontId="36" fillId="0" borderId="43" xfId="0" applyNumberFormat="1" applyFont="1" applyBorder="1" applyAlignment="1">
      <alignment horizontal="center" vertical="center"/>
    </xf>
    <xf numFmtId="165" fontId="29" fillId="0" borderId="26" xfId="0" applyNumberFormat="1" applyFont="1" applyBorder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165" fontId="29" fillId="0" borderId="25" xfId="0" applyNumberFormat="1" applyFont="1" applyBorder="1" applyAlignment="1">
      <alignment horizontal="center" vertical="center"/>
    </xf>
    <xf numFmtId="165" fontId="29" fillId="0" borderId="43" xfId="0" applyNumberFormat="1" applyFont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center" vertical="top"/>
    </xf>
    <xf numFmtId="164" fontId="43" fillId="2" borderId="1" xfId="0" applyNumberFormat="1" applyFont="1" applyFill="1" applyBorder="1" applyAlignment="1">
      <alignment horizontal="center" vertical="top"/>
    </xf>
    <xf numFmtId="164" fontId="10" fillId="2" borderId="1" xfId="0" applyNumberFormat="1" applyFont="1" applyFill="1" applyBorder="1" applyAlignment="1">
      <alignment horizontal="center" vertical="center"/>
    </xf>
    <xf numFmtId="164" fontId="32" fillId="2" borderId="6" xfId="0" applyNumberFormat="1" applyFont="1" applyFill="1" applyBorder="1" applyAlignment="1">
      <alignment horizontal="center" vertical="center"/>
    </xf>
    <xf numFmtId="164" fontId="32" fillId="2" borderId="7" xfId="0" applyNumberFormat="1" applyFont="1" applyFill="1" applyBorder="1" applyAlignment="1">
      <alignment horizontal="center" vertical="center"/>
    </xf>
    <xf numFmtId="164" fontId="32" fillId="2" borderId="8" xfId="0" applyNumberFormat="1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/>
    </xf>
    <xf numFmtId="164" fontId="10" fillId="2" borderId="7" xfId="0" applyNumberFormat="1" applyFont="1" applyFill="1" applyBorder="1" applyAlignment="1">
      <alignment horizontal="center" vertical="center"/>
    </xf>
    <xf numFmtId="164" fontId="10" fillId="2" borderId="8" xfId="0" applyNumberFormat="1" applyFont="1" applyFill="1" applyBorder="1" applyAlignment="1">
      <alignment horizontal="center" vertical="center"/>
    </xf>
    <xf numFmtId="164" fontId="43" fillId="2" borderId="1" xfId="0" applyNumberFormat="1" applyFont="1" applyFill="1" applyBorder="1" applyAlignment="1">
      <alignment horizontal="center" vertical="center"/>
    </xf>
    <xf numFmtId="165" fontId="29" fillId="0" borderId="26" xfId="0" applyNumberFormat="1" applyFont="1" applyBorder="1" applyAlignment="1">
      <alignment horizontal="right" vertical="center"/>
    </xf>
    <xf numFmtId="165" fontId="29" fillId="0" borderId="0" xfId="0" applyNumberFormat="1" applyFont="1" applyAlignment="1">
      <alignment horizontal="right" vertical="center"/>
    </xf>
    <xf numFmtId="165" fontId="29" fillId="0" borderId="25" xfId="0" applyNumberFormat="1" applyFont="1" applyBorder="1" applyAlignment="1">
      <alignment horizontal="right" vertical="center"/>
    </xf>
    <xf numFmtId="165" fontId="10" fillId="0" borderId="27" xfId="0" applyNumberFormat="1" applyFont="1" applyBorder="1" applyAlignment="1">
      <alignment horizontal="center" vertical="center" wrapText="1"/>
    </xf>
    <xf numFmtId="165" fontId="10" fillId="0" borderId="21" xfId="0" applyNumberFormat="1" applyFont="1" applyBorder="1" applyAlignment="1">
      <alignment horizontal="center" vertical="center" wrapText="1"/>
    </xf>
    <xf numFmtId="165" fontId="10" fillId="0" borderId="22" xfId="0" applyNumberFormat="1" applyFont="1" applyBorder="1" applyAlignment="1">
      <alignment horizontal="center" vertical="center" wrapText="1"/>
    </xf>
    <xf numFmtId="165" fontId="10" fillId="0" borderId="26" xfId="0" applyNumberFormat="1" applyFont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 wrapText="1"/>
    </xf>
    <xf numFmtId="165" fontId="10" fillId="0" borderId="25" xfId="0" applyNumberFormat="1" applyFont="1" applyBorder="1" applyAlignment="1">
      <alignment horizontal="center" vertical="center" wrapText="1"/>
    </xf>
    <xf numFmtId="164" fontId="42" fillId="2" borderId="1" xfId="0" applyNumberFormat="1" applyFont="1" applyFill="1" applyBorder="1" applyAlignment="1">
      <alignment horizontal="center" vertical="center"/>
    </xf>
    <xf numFmtId="164" fontId="12" fillId="2" borderId="1" xfId="0" applyNumberFormat="1" applyFont="1" applyFill="1" applyBorder="1" applyAlignment="1">
      <alignment horizontal="left" vertical="top"/>
    </xf>
    <xf numFmtId="9" fontId="15" fillId="3" borderId="0" xfId="0" applyNumberFormat="1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28" fillId="2" borderId="1" xfId="0" applyFont="1" applyFill="1" applyBorder="1" applyAlignment="1">
      <alignment horizontal="center" vertical="center"/>
    </xf>
    <xf numFmtId="165" fontId="10" fillId="0" borderId="40" xfId="0" applyNumberFormat="1" applyFont="1" applyBorder="1" applyAlignment="1">
      <alignment horizontal="center" vertical="center"/>
    </xf>
    <xf numFmtId="165" fontId="10" fillId="0" borderId="41" xfId="0" applyNumberFormat="1" applyFont="1" applyBorder="1" applyAlignment="1">
      <alignment horizontal="center" vertical="center"/>
    </xf>
    <xf numFmtId="165" fontId="10" fillId="0" borderId="42" xfId="0" applyNumberFormat="1" applyFont="1" applyBorder="1" applyAlignment="1">
      <alignment horizontal="center" vertical="center"/>
    </xf>
    <xf numFmtId="165" fontId="10" fillId="0" borderId="26" xfId="0" applyNumberFormat="1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5" fontId="10" fillId="0" borderId="2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3" borderId="30" xfId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29" fillId="0" borderId="24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0" borderId="13" xfId="0" applyFont="1" applyBorder="1" applyAlignment="1">
      <alignment horizontal="left" vertical="center"/>
    </xf>
    <xf numFmtId="0" fontId="29" fillId="0" borderId="25" xfId="0" applyFont="1" applyBorder="1" applyAlignment="1">
      <alignment horizontal="left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29" fillId="0" borderId="26" xfId="0" applyFont="1" applyBorder="1" applyAlignment="1">
      <alignment horizontal="left" vertical="center"/>
    </xf>
    <xf numFmtId="0" fontId="29" fillId="0" borderId="2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164" fontId="14" fillId="2" borderId="6" xfId="0" applyNumberFormat="1" applyFont="1" applyFill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/>
    </xf>
    <xf numFmtId="164" fontId="14" fillId="2" borderId="8" xfId="0" applyNumberFormat="1" applyFont="1" applyFill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29" fillId="0" borderId="26" xfId="0" applyFont="1" applyBorder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29" fillId="0" borderId="25" xfId="0" applyFont="1" applyBorder="1" applyAlignment="1">
      <alignment horizontal="right" vertical="center"/>
    </xf>
    <xf numFmtId="0" fontId="44" fillId="0" borderId="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5" fillId="3" borderId="2" xfId="1" applyFill="1" applyBorder="1" applyAlignment="1">
      <alignment horizontal="center" vertical="center" wrapText="1"/>
    </xf>
    <xf numFmtId="0" fontId="5" fillId="3" borderId="5" xfId="1" applyFill="1" applyBorder="1" applyAlignment="1">
      <alignment horizontal="center" vertical="center" wrapText="1"/>
    </xf>
    <xf numFmtId="164" fontId="10" fillId="0" borderId="36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29" fillId="0" borderId="30" xfId="0" applyNumberFormat="1" applyFont="1" applyBorder="1" applyAlignment="1">
      <alignment horizontal="center"/>
    </xf>
    <xf numFmtId="164" fontId="29" fillId="0" borderId="34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 vertical="center"/>
    </xf>
    <xf numFmtId="164" fontId="29" fillId="0" borderId="26" xfId="0" applyNumberFormat="1" applyFont="1" applyBorder="1" applyAlignment="1">
      <alignment horizontal="left" vertical="center"/>
    </xf>
    <xf numFmtId="164" fontId="29" fillId="0" borderId="0" xfId="0" applyNumberFormat="1" applyFont="1" applyAlignment="1">
      <alignment horizontal="left" vertical="center"/>
    </xf>
    <xf numFmtId="164" fontId="29" fillId="0" borderId="25" xfId="0" applyNumberFormat="1" applyFont="1" applyBorder="1" applyAlignment="1">
      <alignment horizontal="left" vertical="center"/>
    </xf>
    <xf numFmtId="164" fontId="11" fillId="2" borderId="1" xfId="0" applyNumberFormat="1" applyFont="1" applyFill="1" applyBorder="1" applyAlignment="1">
      <alignment horizontal="right" vertical="center"/>
    </xf>
    <xf numFmtId="164" fontId="12" fillId="2" borderId="1" xfId="0" applyNumberFormat="1" applyFont="1" applyFill="1" applyBorder="1" applyAlignment="1">
      <alignment horizontal="left" vertical="center"/>
    </xf>
    <xf numFmtId="164" fontId="10" fillId="0" borderId="30" xfId="0" applyNumberFormat="1" applyFont="1" applyBorder="1" applyAlignment="1">
      <alignment horizontal="center" vertical="center"/>
    </xf>
    <xf numFmtId="164" fontId="40" fillId="0" borderId="26" xfId="0" applyNumberFormat="1" applyFont="1" applyBorder="1" applyAlignment="1">
      <alignment horizontal="left" vertical="center"/>
    </xf>
    <xf numFmtId="164" fontId="40" fillId="0" borderId="0" xfId="0" applyNumberFormat="1" applyFont="1" applyAlignment="1">
      <alignment horizontal="left" vertical="center"/>
    </xf>
    <xf numFmtId="164" fontId="40" fillId="0" borderId="27" xfId="0" applyNumberFormat="1" applyFont="1" applyBorder="1" applyAlignment="1">
      <alignment horizontal="center" vertical="center"/>
    </xf>
    <xf numFmtId="164" fontId="40" fillId="0" borderId="21" xfId="0" applyNumberFormat="1" applyFont="1" applyBorder="1" applyAlignment="1">
      <alignment horizontal="center" vertical="center"/>
    </xf>
    <xf numFmtId="164" fontId="40" fillId="0" borderId="22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left" vertical="center"/>
    </xf>
    <xf numFmtId="164" fontId="29" fillId="0" borderId="41" xfId="0" applyNumberFormat="1" applyFont="1" applyBorder="1" applyAlignment="1">
      <alignment horizontal="left" vertical="center"/>
    </xf>
    <xf numFmtId="164" fontId="29" fillId="0" borderId="42" xfId="0" applyNumberFormat="1" applyFont="1" applyBorder="1" applyAlignment="1">
      <alignment horizontal="left" vertical="center"/>
    </xf>
    <xf numFmtId="164" fontId="10" fillId="0" borderId="40" xfId="0" applyNumberFormat="1" applyFont="1" applyBorder="1" applyAlignment="1">
      <alignment horizontal="center" vertical="center"/>
    </xf>
    <xf numFmtId="164" fontId="10" fillId="0" borderId="41" xfId="0" applyNumberFormat="1" applyFont="1" applyBorder="1" applyAlignment="1">
      <alignment horizontal="center" vertical="center"/>
    </xf>
    <xf numFmtId="164" fontId="10" fillId="0" borderId="42" xfId="0" applyNumberFormat="1" applyFont="1" applyBorder="1" applyAlignment="1">
      <alignment horizontal="center" vertical="center"/>
    </xf>
    <xf numFmtId="164" fontId="34" fillId="0" borderId="26" xfId="0" applyNumberFormat="1" applyFont="1" applyBorder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164" fontId="34" fillId="0" borderId="25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25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left" vertical="top"/>
    </xf>
    <xf numFmtId="164" fontId="29" fillId="0" borderId="41" xfId="0" applyNumberFormat="1" applyFont="1" applyBorder="1" applyAlignment="1">
      <alignment horizontal="left" vertical="top"/>
    </xf>
    <xf numFmtId="164" fontId="29" fillId="0" borderId="42" xfId="0" applyNumberFormat="1" applyFont="1" applyBorder="1" applyAlignment="1">
      <alignment horizontal="left" vertical="top"/>
    </xf>
    <xf numFmtId="164" fontId="29" fillId="0" borderId="26" xfId="0" applyNumberFormat="1" applyFont="1" applyBorder="1" applyAlignment="1">
      <alignment horizontal="left" vertical="top"/>
    </xf>
    <xf numFmtId="164" fontId="29" fillId="0" borderId="0" xfId="0" applyNumberFormat="1" applyFont="1" applyAlignment="1">
      <alignment horizontal="left" vertical="top"/>
    </xf>
    <xf numFmtId="164" fontId="29" fillId="0" borderId="25" xfId="0" applyNumberFormat="1" applyFont="1" applyBorder="1" applyAlignment="1">
      <alignment horizontal="left" vertical="top"/>
    </xf>
    <xf numFmtId="0" fontId="13" fillId="0" borderId="1" xfId="0" applyFont="1" applyBorder="1" applyAlignment="1">
      <alignment horizontal="center" vertical="center" wrapText="1"/>
    </xf>
    <xf numFmtId="0" fontId="5" fillId="3" borderId="3" xfId="1" applyFill="1" applyBorder="1" applyAlignment="1">
      <alignment horizontal="center" vertical="center" wrapText="1"/>
    </xf>
    <xf numFmtId="0" fontId="5" fillId="3" borderId="0" xfId="1" applyFill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164" fontId="11" fillId="2" borderId="30" xfId="0" applyNumberFormat="1" applyFont="1" applyFill="1" applyBorder="1" applyAlignment="1">
      <alignment horizontal="left" vertical="center"/>
    </xf>
    <xf numFmtId="164" fontId="11" fillId="2" borderId="30" xfId="0" applyNumberFormat="1" applyFont="1" applyFill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7" fillId="0" borderId="26" xfId="0" applyFont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7" fillId="0" borderId="25" xfId="0" applyFont="1" applyBorder="1" applyAlignment="1">
      <alignment horizontal="left" vertical="center"/>
    </xf>
    <xf numFmtId="0" fontId="10" fillId="0" borderId="40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58" fillId="3" borderId="6" xfId="9" applyFont="1" applyFill="1" applyBorder="1" applyAlignment="1">
      <alignment horizontal="center" vertical="center"/>
    </xf>
    <xf numFmtId="0" fontId="58" fillId="3" borderId="7" xfId="9" applyFont="1" applyFill="1" applyBorder="1" applyAlignment="1">
      <alignment horizontal="center" vertical="center"/>
    </xf>
    <xf numFmtId="0" fontId="58" fillId="3" borderId="8" xfId="9" applyFont="1" applyFill="1" applyBorder="1" applyAlignment="1">
      <alignment horizontal="center" vertical="center"/>
    </xf>
    <xf numFmtId="0" fontId="5" fillId="3" borderId="1" xfId="1" applyFill="1" applyBorder="1" applyAlignment="1">
      <alignment horizontal="center" vertical="center"/>
    </xf>
    <xf numFmtId="0" fontId="57" fillId="3" borderId="2" xfId="9" applyFont="1" applyFill="1" applyBorder="1" applyAlignment="1">
      <alignment horizontal="center" vertical="center"/>
    </xf>
    <xf numFmtId="0" fontId="57" fillId="3" borderId="1" xfId="9" applyFont="1" applyFill="1" applyBorder="1" applyAlignment="1">
      <alignment horizontal="center" vertical="center"/>
    </xf>
  </cellXfs>
  <cellStyles count="11">
    <cellStyle name="Гиперссылка" xfId="1" builtinId="8"/>
    <cellStyle name="Гиперссылка 2" xfId="3" xr:uid="{C4C0E404-D66A-411C-AD4A-7CDE942A5B55}"/>
    <cellStyle name="Гиперссылка 3" xfId="4" xr:uid="{4B7C0BAD-A521-4275-B50C-049A70DACDCC}"/>
    <cellStyle name="Денежный 2" xfId="10" xr:uid="{723F2D14-69C6-47B8-A8E4-E8FA2D3384C8}"/>
    <cellStyle name="Обычный" xfId="0" builtinId="0"/>
    <cellStyle name="Обычный 2" xfId="5" xr:uid="{5B71D176-63A1-447A-B835-FF6DF19973BE}"/>
    <cellStyle name="Обычный 2 2" xfId="6" xr:uid="{7853F143-7A52-4671-A038-CAF56BE73315}"/>
    <cellStyle name="Обычный 2 3" xfId="7" xr:uid="{8515B981-25B7-4414-9BDC-1698534FA01A}"/>
    <cellStyle name="Обычный 3" xfId="2" xr:uid="{E6E3F4FB-001D-46FE-99EB-D3564511909B}"/>
    <cellStyle name="Обычный 4" xfId="8" xr:uid="{B6F0D08D-3D8D-46E8-85AC-C9C254C4EC54}"/>
    <cellStyle name="Обычный 5" xfId="9" xr:uid="{E4993E0E-5815-4535-A56B-4CC0AFA3DA52}"/>
  </cellStyles>
  <dxfs count="0"/>
  <tableStyles count="0" defaultTableStyle="TableStyleMedium2" defaultPivotStyle="PivotStyleLight16"/>
  <colors>
    <mruColors>
      <color rgb="FFFF99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furnizab.ru/ostavitzayavku" TargetMode="External"/><Relationship Id="rId7" Type="http://schemas.openxmlformats.org/officeDocument/2006/relationships/hyperlink" Target="https://furnizab.ru/dostavka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furnizab.ru/nachatvibirat" TargetMode="Externa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8.jpeg"/><Relationship Id="rId13" Type="http://schemas.openxmlformats.org/officeDocument/2006/relationships/image" Target="../media/image393.jpeg"/><Relationship Id="rId3" Type="http://schemas.openxmlformats.org/officeDocument/2006/relationships/image" Target="../media/image383.jpeg"/><Relationship Id="rId7" Type="http://schemas.openxmlformats.org/officeDocument/2006/relationships/image" Target="../media/image387.jpeg"/><Relationship Id="rId12" Type="http://schemas.openxmlformats.org/officeDocument/2006/relationships/image" Target="../media/image392.jpeg"/><Relationship Id="rId2" Type="http://schemas.openxmlformats.org/officeDocument/2006/relationships/image" Target="../media/image382.jpeg"/><Relationship Id="rId1" Type="http://schemas.openxmlformats.org/officeDocument/2006/relationships/image" Target="../media/image381.jpeg"/><Relationship Id="rId6" Type="http://schemas.openxmlformats.org/officeDocument/2006/relationships/image" Target="../media/image386.jpeg"/><Relationship Id="rId11" Type="http://schemas.openxmlformats.org/officeDocument/2006/relationships/image" Target="../media/image391.jpeg"/><Relationship Id="rId5" Type="http://schemas.openxmlformats.org/officeDocument/2006/relationships/image" Target="../media/image385.jpeg"/><Relationship Id="rId10" Type="http://schemas.openxmlformats.org/officeDocument/2006/relationships/image" Target="../media/image390.jpeg"/><Relationship Id="rId4" Type="http://schemas.openxmlformats.org/officeDocument/2006/relationships/image" Target="../media/image384.jpeg"/><Relationship Id="rId9" Type="http://schemas.openxmlformats.org/officeDocument/2006/relationships/image" Target="../media/image389.jpeg"/><Relationship Id="rId14" Type="http://schemas.openxmlformats.org/officeDocument/2006/relationships/image" Target="../media/image3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1.jpeg"/><Relationship Id="rId13" Type="http://schemas.openxmlformats.org/officeDocument/2006/relationships/image" Target="../media/image406.jpeg"/><Relationship Id="rId18" Type="http://schemas.openxmlformats.org/officeDocument/2006/relationships/image" Target="../media/image411.jpeg"/><Relationship Id="rId26" Type="http://schemas.openxmlformats.org/officeDocument/2006/relationships/image" Target="../media/image419.jpeg"/><Relationship Id="rId3" Type="http://schemas.openxmlformats.org/officeDocument/2006/relationships/image" Target="../media/image396.jpeg"/><Relationship Id="rId21" Type="http://schemas.openxmlformats.org/officeDocument/2006/relationships/image" Target="../media/image414.jpeg"/><Relationship Id="rId7" Type="http://schemas.openxmlformats.org/officeDocument/2006/relationships/image" Target="../media/image400.jpeg"/><Relationship Id="rId12" Type="http://schemas.openxmlformats.org/officeDocument/2006/relationships/image" Target="../media/image405.jpeg"/><Relationship Id="rId17" Type="http://schemas.openxmlformats.org/officeDocument/2006/relationships/image" Target="../media/image410.jpeg"/><Relationship Id="rId25" Type="http://schemas.openxmlformats.org/officeDocument/2006/relationships/image" Target="../media/image418.jpeg"/><Relationship Id="rId2" Type="http://schemas.openxmlformats.org/officeDocument/2006/relationships/image" Target="../media/image395.jpeg"/><Relationship Id="rId16" Type="http://schemas.openxmlformats.org/officeDocument/2006/relationships/image" Target="../media/image409.jpeg"/><Relationship Id="rId20" Type="http://schemas.openxmlformats.org/officeDocument/2006/relationships/image" Target="../media/image413.jpeg"/><Relationship Id="rId1" Type="http://schemas.openxmlformats.org/officeDocument/2006/relationships/image" Target="../media/image394.jpeg"/><Relationship Id="rId6" Type="http://schemas.openxmlformats.org/officeDocument/2006/relationships/image" Target="../media/image399.jpeg"/><Relationship Id="rId11" Type="http://schemas.openxmlformats.org/officeDocument/2006/relationships/image" Target="../media/image404.jpeg"/><Relationship Id="rId24" Type="http://schemas.openxmlformats.org/officeDocument/2006/relationships/image" Target="../media/image417.jpeg"/><Relationship Id="rId5" Type="http://schemas.openxmlformats.org/officeDocument/2006/relationships/image" Target="../media/image398.jpeg"/><Relationship Id="rId15" Type="http://schemas.openxmlformats.org/officeDocument/2006/relationships/image" Target="../media/image408.jpeg"/><Relationship Id="rId23" Type="http://schemas.openxmlformats.org/officeDocument/2006/relationships/image" Target="../media/image416.jpeg"/><Relationship Id="rId10" Type="http://schemas.openxmlformats.org/officeDocument/2006/relationships/image" Target="../media/image403.jpeg"/><Relationship Id="rId19" Type="http://schemas.openxmlformats.org/officeDocument/2006/relationships/image" Target="../media/image412.jpeg"/><Relationship Id="rId4" Type="http://schemas.openxmlformats.org/officeDocument/2006/relationships/image" Target="../media/image397.jpeg"/><Relationship Id="rId9" Type="http://schemas.openxmlformats.org/officeDocument/2006/relationships/image" Target="../media/image402.jpeg"/><Relationship Id="rId14" Type="http://schemas.openxmlformats.org/officeDocument/2006/relationships/image" Target="../media/image407.jpeg"/><Relationship Id="rId22" Type="http://schemas.openxmlformats.org/officeDocument/2006/relationships/image" Target="../media/image415.jpeg"/><Relationship Id="rId27" Type="http://schemas.openxmlformats.org/officeDocument/2006/relationships/image" Target="../media/image39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32.jpeg"/><Relationship Id="rId18" Type="http://schemas.openxmlformats.org/officeDocument/2006/relationships/image" Target="../media/image437.jpeg"/><Relationship Id="rId26" Type="http://schemas.openxmlformats.org/officeDocument/2006/relationships/image" Target="../media/image445.jpeg"/><Relationship Id="rId39" Type="http://schemas.openxmlformats.org/officeDocument/2006/relationships/image" Target="../media/image458.jpeg"/><Relationship Id="rId21" Type="http://schemas.openxmlformats.org/officeDocument/2006/relationships/image" Target="../media/image440.jpeg"/><Relationship Id="rId34" Type="http://schemas.openxmlformats.org/officeDocument/2006/relationships/image" Target="../media/image453.jpeg"/><Relationship Id="rId7" Type="http://schemas.openxmlformats.org/officeDocument/2006/relationships/image" Target="../media/image426.jpeg"/><Relationship Id="rId2" Type="http://schemas.openxmlformats.org/officeDocument/2006/relationships/image" Target="../media/image421.jpeg"/><Relationship Id="rId16" Type="http://schemas.openxmlformats.org/officeDocument/2006/relationships/image" Target="../media/image435.jpeg"/><Relationship Id="rId20" Type="http://schemas.openxmlformats.org/officeDocument/2006/relationships/image" Target="../media/image439.jpeg"/><Relationship Id="rId29" Type="http://schemas.openxmlformats.org/officeDocument/2006/relationships/image" Target="../media/image448.jpeg"/><Relationship Id="rId41" Type="http://schemas.openxmlformats.org/officeDocument/2006/relationships/image" Target="../media/image39.png"/><Relationship Id="rId1" Type="http://schemas.openxmlformats.org/officeDocument/2006/relationships/image" Target="../media/image420.jpeg"/><Relationship Id="rId6" Type="http://schemas.openxmlformats.org/officeDocument/2006/relationships/image" Target="../media/image425.jpeg"/><Relationship Id="rId11" Type="http://schemas.openxmlformats.org/officeDocument/2006/relationships/image" Target="../media/image430.jpeg"/><Relationship Id="rId24" Type="http://schemas.openxmlformats.org/officeDocument/2006/relationships/image" Target="../media/image443.jpeg"/><Relationship Id="rId32" Type="http://schemas.openxmlformats.org/officeDocument/2006/relationships/image" Target="../media/image451.jpeg"/><Relationship Id="rId37" Type="http://schemas.openxmlformats.org/officeDocument/2006/relationships/image" Target="../media/image456.jpeg"/><Relationship Id="rId40" Type="http://schemas.openxmlformats.org/officeDocument/2006/relationships/image" Target="../media/image459.jpeg"/><Relationship Id="rId5" Type="http://schemas.openxmlformats.org/officeDocument/2006/relationships/image" Target="../media/image424.jpeg"/><Relationship Id="rId15" Type="http://schemas.openxmlformats.org/officeDocument/2006/relationships/image" Target="../media/image434.jpeg"/><Relationship Id="rId23" Type="http://schemas.openxmlformats.org/officeDocument/2006/relationships/image" Target="../media/image442.jpeg"/><Relationship Id="rId28" Type="http://schemas.openxmlformats.org/officeDocument/2006/relationships/image" Target="../media/image447.jpeg"/><Relationship Id="rId36" Type="http://schemas.openxmlformats.org/officeDocument/2006/relationships/image" Target="../media/image455.jpeg"/><Relationship Id="rId10" Type="http://schemas.openxmlformats.org/officeDocument/2006/relationships/image" Target="../media/image429.jpeg"/><Relationship Id="rId19" Type="http://schemas.openxmlformats.org/officeDocument/2006/relationships/image" Target="../media/image438.jpeg"/><Relationship Id="rId31" Type="http://schemas.openxmlformats.org/officeDocument/2006/relationships/image" Target="../media/image450.jpeg"/><Relationship Id="rId4" Type="http://schemas.openxmlformats.org/officeDocument/2006/relationships/image" Target="../media/image423.jpeg"/><Relationship Id="rId9" Type="http://schemas.openxmlformats.org/officeDocument/2006/relationships/image" Target="../media/image428.jpeg"/><Relationship Id="rId14" Type="http://schemas.openxmlformats.org/officeDocument/2006/relationships/image" Target="../media/image433.jpeg"/><Relationship Id="rId22" Type="http://schemas.openxmlformats.org/officeDocument/2006/relationships/image" Target="../media/image441.jpeg"/><Relationship Id="rId27" Type="http://schemas.openxmlformats.org/officeDocument/2006/relationships/image" Target="../media/image446.jpeg"/><Relationship Id="rId30" Type="http://schemas.openxmlformats.org/officeDocument/2006/relationships/image" Target="../media/image449.jpeg"/><Relationship Id="rId35" Type="http://schemas.openxmlformats.org/officeDocument/2006/relationships/image" Target="../media/image454.jpeg"/><Relationship Id="rId8" Type="http://schemas.openxmlformats.org/officeDocument/2006/relationships/image" Target="../media/image427.jpeg"/><Relationship Id="rId3" Type="http://schemas.openxmlformats.org/officeDocument/2006/relationships/image" Target="../media/image422.jpeg"/><Relationship Id="rId12" Type="http://schemas.openxmlformats.org/officeDocument/2006/relationships/image" Target="../media/image431.jpeg"/><Relationship Id="rId17" Type="http://schemas.openxmlformats.org/officeDocument/2006/relationships/image" Target="../media/image436.jpeg"/><Relationship Id="rId25" Type="http://schemas.openxmlformats.org/officeDocument/2006/relationships/image" Target="../media/image444.jpeg"/><Relationship Id="rId33" Type="http://schemas.openxmlformats.org/officeDocument/2006/relationships/image" Target="../media/image452.jpeg"/><Relationship Id="rId38" Type="http://schemas.openxmlformats.org/officeDocument/2006/relationships/image" Target="../media/image457.jpe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72.jpeg"/><Relationship Id="rId18" Type="http://schemas.openxmlformats.org/officeDocument/2006/relationships/image" Target="../media/image477.jpeg"/><Relationship Id="rId26" Type="http://schemas.openxmlformats.org/officeDocument/2006/relationships/image" Target="../media/image485.jpeg"/><Relationship Id="rId21" Type="http://schemas.openxmlformats.org/officeDocument/2006/relationships/image" Target="../media/image480.jpeg"/><Relationship Id="rId34" Type="http://schemas.openxmlformats.org/officeDocument/2006/relationships/image" Target="../media/image493.jpeg"/><Relationship Id="rId7" Type="http://schemas.openxmlformats.org/officeDocument/2006/relationships/image" Target="../media/image466.jpeg"/><Relationship Id="rId12" Type="http://schemas.openxmlformats.org/officeDocument/2006/relationships/image" Target="../media/image471.jpeg"/><Relationship Id="rId17" Type="http://schemas.openxmlformats.org/officeDocument/2006/relationships/image" Target="../media/image476.jpeg"/><Relationship Id="rId25" Type="http://schemas.openxmlformats.org/officeDocument/2006/relationships/image" Target="../media/image484.jpeg"/><Relationship Id="rId33" Type="http://schemas.openxmlformats.org/officeDocument/2006/relationships/image" Target="../media/image492.jpeg"/><Relationship Id="rId38" Type="http://schemas.openxmlformats.org/officeDocument/2006/relationships/image" Target="../media/image39.png"/><Relationship Id="rId2" Type="http://schemas.openxmlformats.org/officeDocument/2006/relationships/image" Target="../media/image461.jpeg"/><Relationship Id="rId16" Type="http://schemas.openxmlformats.org/officeDocument/2006/relationships/image" Target="../media/image475.jpeg"/><Relationship Id="rId20" Type="http://schemas.openxmlformats.org/officeDocument/2006/relationships/image" Target="../media/image479.png"/><Relationship Id="rId29" Type="http://schemas.openxmlformats.org/officeDocument/2006/relationships/image" Target="../media/image488.jpeg"/><Relationship Id="rId1" Type="http://schemas.openxmlformats.org/officeDocument/2006/relationships/image" Target="../media/image460.jpeg"/><Relationship Id="rId6" Type="http://schemas.openxmlformats.org/officeDocument/2006/relationships/image" Target="../media/image465.jpeg"/><Relationship Id="rId11" Type="http://schemas.openxmlformats.org/officeDocument/2006/relationships/image" Target="../media/image470.jpeg"/><Relationship Id="rId24" Type="http://schemas.openxmlformats.org/officeDocument/2006/relationships/image" Target="../media/image483.jpeg"/><Relationship Id="rId32" Type="http://schemas.openxmlformats.org/officeDocument/2006/relationships/image" Target="../media/image491.jpeg"/><Relationship Id="rId37" Type="http://schemas.openxmlformats.org/officeDocument/2006/relationships/image" Target="../media/image496.jpeg"/><Relationship Id="rId5" Type="http://schemas.openxmlformats.org/officeDocument/2006/relationships/image" Target="../media/image464.jpeg"/><Relationship Id="rId15" Type="http://schemas.openxmlformats.org/officeDocument/2006/relationships/image" Target="../media/image474.jpeg"/><Relationship Id="rId23" Type="http://schemas.openxmlformats.org/officeDocument/2006/relationships/image" Target="../media/image482.jpeg"/><Relationship Id="rId28" Type="http://schemas.openxmlformats.org/officeDocument/2006/relationships/image" Target="../media/image487.jpeg"/><Relationship Id="rId36" Type="http://schemas.openxmlformats.org/officeDocument/2006/relationships/image" Target="../media/image495.jpeg"/><Relationship Id="rId10" Type="http://schemas.openxmlformats.org/officeDocument/2006/relationships/image" Target="../media/image469.jpeg"/><Relationship Id="rId19" Type="http://schemas.openxmlformats.org/officeDocument/2006/relationships/image" Target="../media/image478.png"/><Relationship Id="rId31" Type="http://schemas.openxmlformats.org/officeDocument/2006/relationships/image" Target="../media/image490.jpeg"/><Relationship Id="rId4" Type="http://schemas.openxmlformats.org/officeDocument/2006/relationships/image" Target="../media/image463.jpeg"/><Relationship Id="rId9" Type="http://schemas.openxmlformats.org/officeDocument/2006/relationships/image" Target="../media/image468.jpeg"/><Relationship Id="rId14" Type="http://schemas.openxmlformats.org/officeDocument/2006/relationships/image" Target="../media/image473.jpeg"/><Relationship Id="rId22" Type="http://schemas.openxmlformats.org/officeDocument/2006/relationships/image" Target="../media/image481.jpeg"/><Relationship Id="rId27" Type="http://schemas.openxmlformats.org/officeDocument/2006/relationships/image" Target="../media/image486.jpeg"/><Relationship Id="rId30" Type="http://schemas.openxmlformats.org/officeDocument/2006/relationships/image" Target="../media/image489.jpeg"/><Relationship Id="rId35" Type="http://schemas.openxmlformats.org/officeDocument/2006/relationships/image" Target="../media/image494.jpeg"/><Relationship Id="rId8" Type="http://schemas.openxmlformats.org/officeDocument/2006/relationships/image" Target="../media/image467.jpeg"/><Relationship Id="rId3" Type="http://schemas.openxmlformats.org/officeDocument/2006/relationships/image" Target="../media/image46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9.jpg"/><Relationship Id="rId7" Type="http://schemas.openxmlformats.org/officeDocument/2006/relationships/image" Target="../media/image503.jpeg"/><Relationship Id="rId2" Type="http://schemas.openxmlformats.org/officeDocument/2006/relationships/image" Target="../media/image498.jpg"/><Relationship Id="rId1" Type="http://schemas.openxmlformats.org/officeDocument/2006/relationships/image" Target="../media/image497.jpg"/><Relationship Id="rId6" Type="http://schemas.openxmlformats.org/officeDocument/2006/relationships/image" Target="../media/image502.jpg"/><Relationship Id="rId5" Type="http://schemas.openxmlformats.org/officeDocument/2006/relationships/image" Target="../media/image501.jpg"/><Relationship Id="rId4" Type="http://schemas.openxmlformats.org/officeDocument/2006/relationships/image" Target="../media/image500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jpeg"/><Relationship Id="rId18" Type="http://schemas.openxmlformats.org/officeDocument/2006/relationships/image" Target="../media/image23.png"/><Relationship Id="rId26" Type="http://schemas.openxmlformats.org/officeDocument/2006/relationships/image" Target="../media/image31.jpeg"/><Relationship Id="rId39" Type="http://schemas.openxmlformats.org/officeDocument/2006/relationships/image" Target="../media/image44.png"/><Relationship Id="rId21" Type="http://schemas.openxmlformats.org/officeDocument/2006/relationships/image" Target="../media/image26.jpeg"/><Relationship Id="rId34" Type="http://schemas.openxmlformats.org/officeDocument/2006/relationships/image" Target="../media/image39.png"/><Relationship Id="rId42" Type="http://schemas.openxmlformats.org/officeDocument/2006/relationships/image" Target="../media/image47.png"/><Relationship Id="rId47" Type="http://schemas.openxmlformats.org/officeDocument/2006/relationships/image" Target="../media/image52.png"/><Relationship Id="rId50" Type="http://schemas.openxmlformats.org/officeDocument/2006/relationships/image" Target="../media/image55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6" Type="http://schemas.openxmlformats.org/officeDocument/2006/relationships/image" Target="../media/image21.jpeg"/><Relationship Id="rId29" Type="http://schemas.openxmlformats.org/officeDocument/2006/relationships/image" Target="../media/image34.jpeg"/><Relationship Id="rId11" Type="http://schemas.openxmlformats.org/officeDocument/2006/relationships/image" Target="../media/image16.jpeg"/><Relationship Id="rId24" Type="http://schemas.openxmlformats.org/officeDocument/2006/relationships/image" Target="../media/image29.jpeg"/><Relationship Id="rId32" Type="http://schemas.openxmlformats.org/officeDocument/2006/relationships/image" Target="../media/image37.png"/><Relationship Id="rId37" Type="http://schemas.openxmlformats.org/officeDocument/2006/relationships/image" Target="../media/image42.png"/><Relationship Id="rId40" Type="http://schemas.openxmlformats.org/officeDocument/2006/relationships/image" Target="../media/image45.png"/><Relationship Id="rId45" Type="http://schemas.openxmlformats.org/officeDocument/2006/relationships/image" Target="../media/image50.png"/><Relationship Id="rId5" Type="http://schemas.openxmlformats.org/officeDocument/2006/relationships/image" Target="../media/image10.png"/><Relationship Id="rId15" Type="http://schemas.openxmlformats.org/officeDocument/2006/relationships/image" Target="../media/image20.jpeg"/><Relationship Id="rId23" Type="http://schemas.openxmlformats.org/officeDocument/2006/relationships/image" Target="../media/image28.png"/><Relationship Id="rId28" Type="http://schemas.openxmlformats.org/officeDocument/2006/relationships/image" Target="../media/image33.jpeg"/><Relationship Id="rId36" Type="http://schemas.openxmlformats.org/officeDocument/2006/relationships/image" Target="../media/image41.png"/><Relationship Id="rId49" Type="http://schemas.openxmlformats.org/officeDocument/2006/relationships/image" Target="../media/image54.png"/><Relationship Id="rId10" Type="http://schemas.openxmlformats.org/officeDocument/2006/relationships/image" Target="../media/image15.jpeg"/><Relationship Id="rId19" Type="http://schemas.openxmlformats.org/officeDocument/2006/relationships/image" Target="../media/image24.jpeg"/><Relationship Id="rId31" Type="http://schemas.openxmlformats.org/officeDocument/2006/relationships/image" Target="../media/image36.jpeg"/><Relationship Id="rId44" Type="http://schemas.openxmlformats.org/officeDocument/2006/relationships/image" Target="../media/image49.pn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Relationship Id="rId22" Type="http://schemas.openxmlformats.org/officeDocument/2006/relationships/image" Target="../media/image27.jpeg"/><Relationship Id="rId27" Type="http://schemas.openxmlformats.org/officeDocument/2006/relationships/image" Target="../media/image32.jpeg"/><Relationship Id="rId30" Type="http://schemas.openxmlformats.org/officeDocument/2006/relationships/image" Target="../media/image35.jpeg"/><Relationship Id="rId35" Type="http://schemas.openxmlformats.org/officeDocument/2006/relationships/image" Target="../media/image40.png"/><Relationship Id="rId43" Type="http://schemas.openxmlformats.org/officeDocument/2006/relationships/image" Target="../media/image48.png"/><Relationship Id="rId48" Type="http://schemas.openxmlformats.org/officeDocument/2006/relationships/image" Target="../media/image53.png"/><Relationship Id="rId8" Type="http://schemas.openxmlformats.org/officeDocument/2006/relationships/image" Target="../media/image13.png"/><Relationship Id="rId3" Type="http://schemas.openxmlformats.org/officeDocument/2006/relationships/image" Target="../media/image8.jpe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5" Type="http://schemas.openxmlformats.org/officeDocument/2006/relationships/image" Target="../media/image30.jpeg"/><Relationship Id="rId33" Type="http://schemas.openxmlformats.org/officeDocument/2006/relationships/image" Target="../media/image38.jpeg"/><Relationship Id="rId38" Type="http://schemas.openxmlformats.org/officeDocument/2006/relationships/image" Target="../media/image43.png"/><Relationship Id="rId46" Type="http://schemas.openxmlformats.org/officeDocument/2006/relationships/image" Target="../media/image51.png"/><Relationship Id="rId20" Type="http://schemas.openxmlformats.org/officeDocument/2006/relationships/image" Target="../media/image25.jpeg"/><Relationship Id="rId41" Type="http://schemas.openxmlformats.org/officeDocument/2006/relationships/image" Target="../media/image46.jpeg"/><Relationship Id="rId1" Type="http://schemas.openxmlformats.org/officeDocument/2006/relationships/image" Target="../media/image6.png"/><Relationship Id="rId6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9" Type="http://schemas.openxmlformats.org/officeDocument/2006/relationships/image" Target="../media/image40.png"/><Relationship Id="rId21" Type="http://schemas.openxmlformats.org/officeDocument/2006/relationships/image" Target="../media/image76.jpeg"/><Relationship Id="rId34" Type="http://schemas.openxmlformats.org/officeDocument/2006/relationships/image" Target="../media/image89.jpe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62.jpeg"/><Relationship Id="rId2" Type="http://schemas.openxmlformats.org/officeDocument/2006/relationships/image" Target="../media/image57.png"/><Relationship Id="rId16" Type="http://schemas.openxmlformats.org/officeDocument/2006/relationships/image" Target="../media/image71.jpeg"/><Relationship Id="rId29" Type="http://schemas.openxmlformats.org/officeDocument/2006/relationships/image" Target="../media/image84.jpe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32" Type="http://schemas.openxmlformats.org/officeDocument/2006/relationships/image" Target="../media/image87.jpeg"/><Relationship Id="rId37" Type="http://schemas.openxmlformats.org/officeDocument/2006/relationships/image" Target="../media/image92.jpeg"/><Relationship Id="rId40" Type="http://schemas.openxmlformats.org/officeDocument/2006/relationships/image" Target="../media/image41.png"/><Relationship Id="rId45" Type="http://schemas.openxmlformats.org/officeDocument/2006/relationships/image" Target="../media/image46.jpeg"/><Relationship Id="rId53" Type="http://schemas.openxmlformats.org/officeDocument/2006/relationships/image" Target="../media/image54.png"/><Relationship Id="rId5" Type="http://schemas.openxmlformats.org/officeDocument/2006/relationships/image" Target="../media/image60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31" Type="http://schemas.openxmlformats.org/officeDocument/2006/relationships/image" Target="../media/image86.jpe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Relationship Id="rId30" Type="http://schemas.openxmlformats.org/officeDocument/2006/relationships/image" Target="../media/image85.jpeg"/><Relationship Id="rId35" Type="http://schemas.openxmlformats.org/officeDocument/2006/relationships/image" Target="../media/image90.jpe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63.jpeg"/><Relationship Id="rId51" Type="http://schemas.openxmlformats.org/officeDocument/2006/relationships/image" Target="../media/image52.png"/><Relationship Id="rId3" Type="http://schemas.openxmlformats.org/officeDocument/2006/relationships/image" Target="../media/image58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33" Type="http://schemas.openxmlformats.org/officeDocument/2006/relationships/image" Target="../media/image88.jpe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0" Type="http://schemas.openxmlformats.org/officeDocument/2006/relationships/image" Target="../media/image75.jpeg"/><Relationship Id="rId41" Type="http://schemas.openxmlformats.org/officeDocument/2006/relationships/image" Target="../media/image42.png"/><Relationship Id="rId54" Type="http://schemas.openxmlformats.org/officeDocument/2006/relationships/image" Target="../media/image93.png"/><Relationship Id="rId1" Type="http://schemas.openxmlformats.org/officeDocument/2006/relationships/image" Target="../media/image56.png"/><Relationship Id="rId6" Type="http://schemas.openxmlformats.org/officeDocument/2006/relationships/image" Target="../media/image61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36" Type="http://schemas.openxmlformats.org/officeDocument/2006/relationships/image" Target="../media/image91.jpeg"/><Relationship Id="rId49" Type="http://schemas.openxmlformats.org/officeDocument/2006/relationships/image" Target="../media/image5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6.jpeg"/><Relationship Id="rId18" Type="http://schemas.microsoft.com/office/2007/relationships/hdphoto" Target="../media/hdphoto1.wdp"/><Relationship Id="rId26" Type="http://schemas.openxmlformats.org/officeDocument/2006/relationships/image" Target="../media/image45.png"/><Relationship Id="rId3" Type="http://schemas.openxmlformats.org/officeDocument/2006/relationships/image" Target="../media/image96.png"/><Relationship Id="rId21" Type="http://schemas.openxmlformats.org/officeDocument/2006/relationships/image" Target="../media/image40.png"/><Relationship Id="rId34" Type="http://schemas.openxmlformats.org/officeDocument/2006/relationships/image" Target="../media/image53.png"/><Relationship Id="rId7" Type="http://schemas.openxmlformats.org/officeDocument/2006/relationships/image" Target="../media/image100.png"/><Relationship Id="rId12" Type="http://schemas.openxmlformats.org/officeDocument/2006/relationships/image" Target="../media/image105.png"/><Relationship Id="rId17" Type="http://schemas.openxmlformats.org/officeDocument/2006/relationships/image" Target="../media/image110.png"/><Relationship Id="rId25" Type="http://schemas.openxmlformats.org/officeDocument/2006/relationships/image" Target="../media/image44.png"/><Relationship Id="rId33" Type="http://schemas.openxmlformats.org/officeDocument/2006/relationships/image" Target="../media/image52.png"/><Relationship Id="rId2" Type="http://schemas.openxmlformats.org/officeDocument/2006/relationships/image" Target="../media/image95.png"/><Relationship Id="rId16" Type="http://schemas.openxmlformats.org/officeDocument/2006/relationships/image" Target="../media/image109.png"/><Relationship Id="rId20" Type="http://schemas.openxmlformats.org/officeDocument/2006/relationships/image" Target="../media/image39.png"/><Relationship Id="rId29" Type="http://schemas.openxmlformats.org/officeDocument/2006/relationships/image" Target="../media/image48.png"/><Relationship Id="rId1" Type="http://schemas.openxmlformats.org/officeDocument/2006/relationships/image" Target="../media/image94.png"/><Relationship Id="rId6" Type="http://schemas.openxmlformats.org/officeDocument/2006/relationships/image" Target="../media/image99.png"/><Relationship Id="rId11" Type="http://schemas.openxmlformats.org/officeDocument/2006/relationships/image" Target="../media/image104.png"/><Relationship Id="rId24" Type="http://schemas.openxmlformats.org/officeDocument/2006/relationships/image" Target="../media/image43.png"/><Relationship Id="rId32" Type="http://schemas.openxmlformats.org/officeDocument/2006/relationships/image" Target="../media/image51.png"/><Relationship Id="rId5" Type="http://schemas.openxmlformats.org/officeDocument/2006/relationships/image" Target="../media/image98.png"/><Relationship Id="rId15" Type="http://schemas.openxmlformats.org/officeDocument/2006/relationships/image" Target="../media/image108.jpeg"/><Relationship Id="rId23" Type="http://schemas.openxmlformats.org/officeDocument/2006/relationships/image" Target="../media/image42.png"/><Relationship Id="rId28" Type="http://schemas.openxmlformats.org/officeDocument/2006/relationships/image" Target="../media/image47.png"/><Relationship Id="rId36" Type="http://schemas.openxmlformats.org/officeDocument/2006/relationships/image" Target="../media/image112.png"/><Relationship Id="rId10" Type="http://schemas.openxmlformats.org/officeDocument/2006/relationships/image" Target="../media/image103.png"/><Relationship Id="rId19" Type="http://schemas.openxmlformats.org/officeDocument/2006/relationships/image" Target="../media/image111.png"/><Relationship Id="rId31" Type="http://schemas.openxmlformats.org/officeDocument/2006/relationships/image" Target="../media/image50.png"/><Relationship Id="rId4" Type="http://schemas.openxmlformats.org/officeDocument/2006/relationships/image" Target="../media/image97.png"/><Relationship Id="rId9" Type="http://schemas.openxmlformats.org/officeDocument/2006/relationships/image" Target="../media/image102.png"/><Relationship Id="rId14" Type="http://schemas.openxmlformats.org/officeDocument/2006/relationships/image" Target="../media/image107.jpeg"/><Relationship Id="rId22" Type="http://schemas.openxmlformats.org/officeDocument/2006/relationships/image" Target="../media/image41.png"/><Relationship Id="rId27" Type="http://schemas.openxmlformats.org/officeDocument/2006/relationships/image" Target="../media/image46.jpeg"/><Relationship Id="rId30" Type="http://schemas.openxmlformats.org/officeDocument/2006/relationships/image" Target="../media/image49.png"/><Relationship Id="rId35" Type="http://schemas.openxmlformats.org/officeDocument/2006/relationships/image" Target="../media/image54.png"/><Relationship Id="rId8" Type="http://schemas.openxmlformats.org/officeDocument/2006/relationships/image" Target="../media/image101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5.jpeg"/><Relationship Id="rId18" Type="http://schemas.openxmlformats.org/officeDocument/2006/relationships/image" Target="../media/image130.jpeg"/><Relationship Id="rId26" Type="http://schemas.openxmlformats.org/officeDocument/2006/relationships/image" Target="../media/image138.png"/><Relationship Id="rId3" Type="http://schemas.openxmlformats.org/officeDocument/2006/relationships/image" Target="../media/image115.png"/><Relationship Id="rId21" Type="http://schemas.openxmlformats.org/officeDocument/2006/relationships/image" Target="../media/image133.jpeg"/><Relationship Id="rId34" Type="http://schemas.openxmlformats.org/officeDocument/2006/relationships/image" Target="../media/image144.png"/><Relationship Id="rId7" Type="http://schemas.openxmlformats.org/officeDocument/2006/relationships/image" Target="../media/image119.png"/><Relationship Id="rId12" Type="http://schemas.openxmlformats.org/officeDocument/2006/relationships/image" Target="../media/image124.jpeg"/><Relationship Id="rId17" Type="http://schemas.openxmlformats.org/officeDocument/2006/relationships/image" Target="../media/image129.jpeg"/><Relationship Id="rId25" Type="http://schemas.openxmlformats.org/officeDocument/2006/relationships/image" Target="../media/image137.png"/><Relationship Id="rId33" Type="http://schemas.openxmlformats.org/officeDocument/2006/relationships/image" Target="../media/image40.png"/><Relationship Id="rId2" Type="http://schemas.openxmlformats.org/officeDocument/2006/relationships/image" Target="../media/image114.png"/><Relationship Id="rId16" Type="http://schemas.openxmlformats.org/officeDocument/2006/relationships/image" Target="../media/image128.jpeg"/><Relationship Id="rId20" Type="http://schemas.openxmlformats.org/officeDocument/2006/relationships/image" Target="../media/image132.jpeg"/><Relationship Id="rId29" Type="http://schemas.openxmlformats.org/officeDocument/2006/relationships/image" Target="../media/image141.jpeg"/><Relationship Id="rId1" Type="http://schemas.openxmlformats.org/officeDocument/2006/relationships/image" Target="../media/image113.png"/><Relationship Id="rId6" Type="http://schemas.openxmlformats.org/officeDocument/2006/relationships/image" Target="../media/image118.png"/><Relationship Id="rId11" Type="http://schemas.openxmlformats.org/officeDocument/2006/relationships/image" Target="../media/image123.jpeg"/><Relationship Id="rId24" Type="http://schemas.openxmlformats.org/officeDocument/2006/relationships/image" Target="../media/image136.jpeg"/><Relationship Id="rId32" Type="http://schemas.openxmlformats.org/officeDocument/2006/relationships/image" Target="../media/image39.png"/><Relationship Id="rId5" Type="http://schemas.openxmlformats.org/officeDocument/2006/relationships/image" Target="../media/image117.png"/><Relationship Id="rId15" Type="http://schemas.openxmlformats.org/officeDocument/2006/relationships/image" Target="../media/image127.jpeg"/><Relationship Id="rId23" Type="http://schemas.openxmlformats.org/officeDocument/2006/relationships/image" Target="../media/image135.jpeg"/><Relationship Id="rId28" Type="http://schemas.openxmlformats.org/officeDocument/2006/relationships/image" Target="../media/image140.jpeg"/><Relationship Id="rId10" Type="http://schemas.openxmlformats.org/officeDocument/2006/relationships/image" Target="../media/image122.png"/><Relationship Id="rId19" Type="http://schemas.openxmlformats.org/officeDocument/2006/relationships/image" Target="../media/image131.jpeg"/><Relationship Id="rId31" Type="http://schemas.openxmlformats.org/officeDocument/2006/relationships/image" Target="../media/image143.png"/><Relationship Id="rId4" Type="http://schemas.openxmlformats.org/officeDocument/2006/relationships/image" Target="../media/image116.png"/><Relationship Id="rId9" Type="http://schemas.openxmlformats.org/officeDocument/2006/relationships/image" Target="../media/image121.png"/><Relationship Id="rId14" Type="http://schemas.openxmlformats.org/officeDocument/2006/relationships/image" Target="../media/image126.jpeg"/><Relationship Id="rId22" Type="http://schemas.openxmlformats.org/officeDocument/2006/relationships/image" Target="../media/image134.jpeg"/><Relationship Id="rId27" Type="http://schemas.openxmlformats.org/officeDocument/2006/relationships/image" Target="../media/image139.png"/><Relationship Id="rId30" Type="http://schemas.openxmlformats.org/officeDocument/2006/relationships/image" Target="../media/image142.png"/><Relationship Id="rId35" Type="http://schemas.openxmlformats.org/officeDocument/2006/relationships/image" Target="../media/image145.png"/><Relationship Id="rId8" Type="http://schemas.openxmlformats.org/officeDocument/2006/relationships/image" Target="../media/image12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13" Type="http://schemas.openxmlformats.org/officeDocument/2006/relationships/image" Target="../media/image158.png"/><Relationship Id="rId18" Type="http://schemas.openxmlformats.org/officeDocument/2006/relationships/image" Target="../media/image163.png"/><Relationship Id="rId26" Type="http://schemas.openxmlformats.org/officeDocument/2006/relationships/image" Target="../media/image40.png"/><Relationship Id="rId3" Type="http://schemas.openxmlformats.org/officeDocument/2006/relationships/image" Target="../media/image148.png"/><Relationship Id="rId21" Type="http://schemas.openxmlformats.org/officeDocument/2006/relationships/image" Target="../media/image166.png"/><Relationship Id="rId7" Type="http://schemas.openxmlformats.org/officeDocument/2006/relationships/image" Target="../media/image152.png"/><Relationship Id="rId12" Type="http://schemas.openxmlformats.org/officeDocument/2006/relationships/image" Target="../media/image157.png"/><Relationship Id="rId17" Type="http://schemas.openxmlformats.org/officeDocument/2006/relationships/image" Target="../media/image162.png"/><Relationship Id="rId25" Type="http://schemas.openxmlformats.org/officeDocument/2006/relationships/image" Target="../media/image39.png"/><Relationship Id="rId2" Type="http://schemas.openxmlformats.org/officeDocument/2006/relationships/image" Target="../media/image147.png"/><Relationship Id="rId16" Type="http://schemas.openxmlformats.org/officeDocument/2006/relationships/image" Target="../media/image161.png"/><Relationship Id="rId20" Type="http://schemas.openxmlformats.org/officeDocument/2006/relationships/image" Target="../media/image165.png"/><Relationship Id="rId1" Type="http://schemas.openxmlformats.org/officeDocument/2006/relationships/image" Target="../media/image146.png"/><Relationship Id="rId6" Type="http://schemas.openxmlformats.org/officeDocument/2006/relationships/image" Target="../media/image151.png"/><Relationship Id="rId11" Type="http://schemas.openxmlformats.org/officeDocument/2006/relationships/image" Target="../media/image156.png"/><Relationship Id="rId24" Type="http://schemas.openxmlformats.org/officeDocument/2006/relationships/image" Target="../media/image169.png"/><Relationship Id="rId5" Type="http://schemas.openxmlformats.org/officeDocument/2006/relationships/image" Target="../media/image150.png"/><Relationship Id="rId15" Type="http://schemas.openxmlformats.org/officeDocument/2006/relationships/image" Target="../media/image160.png"/><Relationship Id="rId23" Type="http://schemas.openxmlformats.org/officeDocument/2006/relationships/image" Target="../media/image168.png"/><Relationship Id="rId28" Type="http://schemas.openxmlformats.org/officeDocument/2006/relationships/image" Target="../media/image145.png"/><Relationship Id="rId10" Type="http://schemas.openxmlformats.org/officeDocument/2006/relationships/image" Target="../media/image155.png"/><Relationship Id="rId19" Type="http://schemas.openxmlformats.org/officeDocument/2006/relationships/image" Target="../media/image164.png"/><Relationship Id="rId4" Type="http://schemas.openxmlformats.org/officeDocument/2006/relationships/image" Target="../media/image149.png"/><Relationship Id="rId9" Type="http://schemas.openxmlformats.org/officeDocument/2006/relationships/image" Target="../media/image154.png"/><Relationship Id="rId14" Type="http://schemas.openxmlformats.org/officeDocument/2006/relationships/image" Target="../media/image159.png"/><Relationship Id="rId22" Type="http://schemas.openxmlformats.org/officeDocument/2006/relationships/image" Target="../media/image167.png"/><Relationship Id="rId27" Type="http://schemas.openxmlformats.org/officeDocument/2006/relationships/image" Target="../media/image144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5.jpeg"/><Relationship Id="rId21" Type="http://schemas.openxmlformats.org/officeDocument/2006/relationships/image" Target="../media/image190.jpeg"/><Relationship Id="rId42" Type="http://schemas.openxmlformats.org/officeDocument/2006/relationships/image" Target="../media/image211.jpeg"/><Relationship Id="rId47" Type="http://schemas.openxmlformats.org/officeDocument/2006/relationships/image" Target="../media/image216.jpeg"/><Relationship Id="rId63" Type="http://schemas.openxmlformats.org/officeDocument/2006/relationships/image" Target="../media/image232.jpeg"/><Relationship Id="rId68" Type="http://schemas.openxmlformats.org/officeDocument/2006/relationships/image" Target="../media/image237.jpeg"/><Relationship Id="rId84" Type="http://schemas.openxmlformats.org/officeDocument/2006/relationships/image" Target="../media/image253.jpeg"/><Relationship Id="rId89" Type="http://schemas.openxmlformats.org/officeDocument/2006/relationships/image" Target="../media/image258.jpeg"/><Relationship Id="rId16" Type="http://schemas.openxmlformats.org/officeDocument/2006/relationships/image" Target="../media/image185.jpeg"/><Relationship Id="rId11" Type="http://schemas.openxmlformats.org/officeDocument/2006/relationships/image" Target="../media/image180.jpeg"/><Relationship Id="rId32" Type="http://schemas.openxmlformats.org/officeDocument/2006/relationships/image" Target="../media/image201.jpeg"/><Relationship Id="rId37" Type="http://schemas.openxmlformats.org/officeDocument/2006/relationships/image" Target="../media/image206.jpeg"/><Relationship Id="rId53" Type="http://schemas.openxmlformats.org/officeDocument/2006/relationships/image" Target="../media/image222.jpeg"/><Relationship Id="rId58" Type="http://schemas.openxmlformats.org/officeDocument/2006/relationships/image" Target="../media/image227.jpeg"/><Relationship Id="rId74" Type="http://schemas.openxmlformats.org/officeDocument/2006/relationships/image" Target="../media/image243.jpeg"/><Relationship Id="rId79" Type="http://schemas.openxmlformats.org/officeDocument/2006/relationships/image" Target="../media/image248.jpeg"/><Relationship Id="rId102" Type="http://schemas.openxmlformats.org/officeDocument/2006/relationships/image" Target="../media/image271.jpeg"/><Relationship Id="rId5" Type="http://schemas.openxmlformats.org/officeDocument/2006/relationships/image" Target="../media/image174.png"/><Relationship Id="rId90" Type="http://schemas.openxmlformats.org/officeDocument/2006/relationships/image" Target="../media/image259.jpeg"/><Relationship Id="rId95" Type="http://schemas.openxmlformats.org/officeDocument/2006/relationships/image" Target="../media/image264.jpeg"/><Relationship Id="rId22" Type="http://schemas.openxmlformats.org/officeDocument/2006/relationships/image" Target="../media/image191.jpeg"/><Relationship Id="rId27" Type="http://schemas.openxmlformats.org/officeDocument/2006/relationships/image" Target="../media/image196.jpeg"/><Relationship Id="rId43" Type="http://schemas.openxmlformats.org/officeDocument/2006/relationships/image" Target="../media/image212.jpeg"/><Relationship Id="rId48" Type="http://schemas.openxmlformats.org/officeDocument/2006/relationships/image" Target="../media/image217.jpeg"/><Relationship Id="rId64" Type="http://schemas.openxmlformats.org/officeDocument/2006/relationships/image" Target="../media/image233.jpeg"/><Relationship Id="rId69" Type="http://schemas.openxmlformats.org/officeDocument/2006/relationships/image" Target="../media/image238.jpeg"/><Relationship Id="rId80" Type="http://schemas.openxmlformats.org/officeDocument/2006/relationships/image" Target="../media/image249.jpeg"/><Relationship Id="rId85" Type="http://schemas.openxmlformats.org/officeDocument/2006/relationships/image" Target="../media/image254.jpeg"/><Relationship Id="rId12" Type="http://schemas.openxmlformats.org/officeDocument/2006/relationships/image" Target="../media/image181.jpeg"/><Relationship Id="rId17" Type="http://schemas.openxmlformats.org/officeDocument/2006/relationships/image" Target="../media/image186.jpeg"/><Relationship Id="rId33" Type="http://schemas.openxmlformats.org/officeDocument/2006/relationships/image" Target="../media/image202.jpeg"/><Relationship Id="rId38" Type="http://schemas.openxmlformats.org/officeDocument/2006/relationships/image" Target="../media/image207.jpeg"/><Relationship Id="rId59" Type="http://schemas.openxmlformats.org/officeDocument/2006/relationships/image" Target="../media/image228.jpeg"/><Relationship Id="rId103" Type="http://schemas.openxmlformats.org/officeDocument/2006/relationships/image" Target="../media/image272.jpeg"/><Relationship Id="rId20" Type="http://schemas.openxmlformats.org/officeDocument/2006/relationships/image" Target="../media/image189.jpeg"/><Relationship Id="rId41" Type="http://schemas.openxmlformats.org/officeDocument/2006/relationships/image" Target="../media/image210.jpeg"/><Relationship Id="rId54" Type="http://schemas.openxmlformats.org/officeDocument/2006/relationships/image" Target="../media/image223.jpeg"/><Relationship Id="rId62" Type="http://schemas.openxmlformats.org/officeDocument/2006/relationships/image" Target="../media/image231.jpeg"/><Relationship Id="rId70" Type="http://schemas.openxmlformats.org/officeDocument/2006/relationships/image" Target="../media/image239.jpeg"/><Relationship Id="rId75" Type="http://schemas.openxmlformats.org/officeDocument/2006/relationships/image" Target="../media/image244.jpeg"/><Relationship Id="rId83" Type="http://schemas.openxmlformats.org/officeDocument/2006/relationships/image" Target="../media/image252.jpeg"/><Relationship Id="rId88" Type="http://schemas.openxmlformats.org/officeDocument/2006/relationships/image" Target="../media/image257.jpeg"/><Relationship Id="rId91" Type="http://schemas.openxmlformats.org/officeDocument/2006/relationships/image" Target="../media/image260.jpeg"/><Relationship Id="rId96" Type="http://schemas.openxmlformats.org/officeDocument/2006/relationships/image" Target="../media/image265.jpeg"/><Relationship Id="rId1" Type="http://schemas.openxmlformats.org/officeDocument/2006/relationships/image" Target="../media/image170.jpeg"/><Relationship Id="rId6" Type="http://schemas.openxmlformats.org/officeDocument/2006/relationships/image" Target="../media/image175.png"/><Relationship Id="rId15" Type="http://schemas.openxmlformats.org/officeDocument/2006/relationships/image" Target="../media/image184.jpeg"/><Relationship Id="rId23" Type="http://schemas.openxmlformats.org/officeDocument/2006/relationships/image" Target="../media/image192.jpeg"/><Relationship Id="rId28" Type="http://schemas.openxmlformats.org/officeDocument/2006/relationships/image" Target="../media/image197.jpeg"/><Relationship Id="rId36" Type="http://schemas.openxmlformats.org/officeDocument/2006/relationships/image" Target="../media/image205.jpeg"/><Relationship Id="rId49" Type="http://schemas.openxmlformats.org/officeDocument/2006/relationships/image" Target="../media/image218.jpeg"/><Relationship Id="rId57" Type="http://schemas.openxmlformats.org/officeDocument/2006/relationships/image" Target="../media/image226.jpeg"/><Relationship Id="rId10" Type="http://schemas.openxmlformats.org/officeDocument/2006/relationships/image" Target="../media/image179.jpeg"/><Relationship Id="rId31" Type="http://schemas.openxmlformats.org/officeDocument/2006/relationships/image" Target="../media/image200.jpeg"/><Relationship Id="rId44" Type="http://schemas.openxmlformats.org/officeDocument/2006/relationships/image" Target="../media/image213.jpeg"/><Relationship Id="rId52" Type="http://schemas.openxmlformats.org/officeDocument/2006/relationships/image" Target="../media/image221.jpeg"/><Relationship Id="rId60" Type="http://schemas.openxmlformats.org/officeDocument/2006/relationships/image" Target="../media/image229.jpeg"/><Relationship Id="rId65" Type="http://schemas.openxmlformats.org/officeDocument/2006/relationships/image" Target="../media/image234.jpeg"/><Relationship Id="rId73" Type="http://schemas.openxmlformats.org/officeDocument/2006/relationships/image" Target="../media/image242.jpeg"/><Relationship Id="rId78" Type="http://schemas.openxmlformats.org/officeDocument/2006/relationships/image" Target="../media/image247.jpeg"/><Relationship Id="rId81" Type="http://schemas.openxmlformats.org/officeDocument/2006/relationships/image" Target="../media/image250.jpeg"/><Relationship Id="rId86" Type="http://schemas.openxmlformats.org/officeDocument/2006/relationships/image" Target="../media/image255.jpeg"/><Relationship Id="rId94" Type="http://schemas.openxmlformats.org/officeDocument/2006/relationships/image" Target="../media/image263.jpeg"/><Relationship Id="rId99" Type="http://schemas.openxmlformats.org/officeDocument/2006/relationships/image" Target="../media/image268.jpeg"/><Relationship Id="rId101" Type="http://schemas.openxmlformats.org/officeDocument/2006/relationships/image" Target="../media/image270.jpeg"/><Relationship Id="rId4" Type="http://schemas.openxmlformats.org/officeDocument/2006/relationships/image" Target="../media/image173.png"/><Relationship Id="rId9" Type="http://schemas.openxmlformats.org/officeDocument/2006/relationships/image" Target="../media/image178.jpeg"/><Relationship Id="rId13" Type="http://schemas.openxmlformats.org/officeDocument/2006/relationships/image" Target="../media/image182.jpeg"/><Relationship Id="rId18" Type="http://schemas.openxmlformats.org/officeDocument/2006/relationships/image" Target="../media/image187.jpeg"/><Relationship Id="rId39" Type="http://schemas.openxmlformats.org/officeDocument/2006/relationships/image" Target="../media/image208.jpeg"/><Relationship Id="rId34" Type="http://schemas.openxmlformats.org/officeDocument/2006/relationships/image" Target="../media/image203.jpeg"/><Relationship Id="rId50" Type="http://schemas.openxmlformats.org/officeDocument/2006/relationships/image" Target="../media/image219.jpeg"/><Relationship Id="rId55" Type="http://schemas.openxmlformats.org/officeDocument/2006/relationships/image" Target="../media/image224.jpeg"/><Relationship Id="rId76" Type="http://schemas.openxmlformats.org/officeDocument/2006/relationships/image" Target="../media/image245.jpeg"/><Relationship Id="rId97" Type="http://schemas.openxmlformats.org/officeDocument/2006/relationships/image" Target="../media/image266.jpeg"/><Relationship Id="rId104" Type="http://schemas.openxmlformats.org/officeDocument/2006/relationships/image" Target="../media/image273.jpeg"/><Relationship Id="rId7" Type="http://schemas.openxmlformats.org/officeDocument/2006/relationships/image" Target="../media/image176.jpeg"/><Relationship Id="rId71" Type="http://schemas.openxmlformats.org/officeDocument/2006/relationships/image" Target="../media/image240.jpeg"/><Relationship Id="rId92" Type="http://schemas.openxmlformats.org/officeDocument/2006/relationships/image" Target="../media/image261.jpeg"/><Relationship Id="rId2" Type="http://schemas.openxmlformats.org/officeDocument/2006/relationships/image" Target="../media/image171.jpeg"/><Relationship Id="rId29" Type="http://schemas.openxmlformats.org/officeDocument/2006/relationships/image" Target="../media/image198.jpeg"/><Relationship Id="rId24" Type="http://schemas.openxmlformats.org/officeDocument/2006/relationships/image" Target="../media/image193.jpeg"/><Relationship Id="rId40" Type="http://schemas.openxmlformats.org/officeDocument/2006/relationships/image" Target="../media/image209.jpeg"/><Relationship Id="rId45" Type="http://schemas.openxmlformats.org/officeDocument/2006/relationships/image" Target="../media/image214.jpeg"/><Relationship Id="rId66" Type="http://schemas.openxmlformats.org/officeDocument/2006/relationships/image" Target="../media/image235.jpeg"/><Relationship Id="rId87" Type="http://schemas.openxmlformats.org/officeDocument/2006/relationships/image" Target="../media/image256.jpeg"/><Relationship Id="rId61" Type="http://schemas.openxmlformats.org/officeDocument/2006/relationships/image" Target="../media/image230.jpeg"/><Relationship Id="rId82" Type="http://schemas.openxmlformats.org/officeDocument/2006/relationships/image" Target="../media/image251.jpeg"/><Relationship Id="rId19" Type="http://schemas.openxmlformats.org/officeDocument/2006/relationships/image" Target="../media/image188.jpeg"/><Relationship Id="rId14" Type="http://schemas.openxmlformats.org/officeDocument/2006/relationships/image" Target="../media/image183.jpeg"/><Relationship Id="rId30" Type="http://schemas.openxmlformats.org/officeDocument/2006/relationships/image" Target="../media/image199.jpeg"/><Relationship Id="rId35" Type="http://schemas.openxmlformats.org/officeDocument/2006/relationships/image" Target="../media/image204.jpeg"/><Relationship Id="rId56" Type="http://schemas.openxmlformats.org/officeDocument/2006/relationships/image" Target="../media/image225.jpeg"/><Relationship Id="rId77" Type="http://schemas.openxmlformats.org/officeDocument/2006/relationships/image" Target="../media/image246.jpeg"/><Relationship Id="rId100" Type="http://schemas.openxmlformats.org/officeDocument/2006/relationships/image" Target="../media/image269.jpeg"/><Relationship Id="rId105" Type="http://schemas.openxmlformats.org/officeDocument/2006/relationships/image" Target="../media/image39.png"/><Relationship Id="rId8" Type="http://schemas.openxmlformats.org/officeDocument/2006/relationships/image" Target="../media/image177.jpeg"/><Relationship Id="rId51" Type="http://schemas.openxmlformats.org/officeDocument/2006/relationships/image" Target="../media/image220.jpeg"/><Relationship Id="rId72" Type="http://schemas.openxmlformats.org/officeDocument/2006/relationships/image" Target="../media/image241.jpeg"/><Relationship Id="rId93" Type="http://schemas.openxmlformats.org/officeDocument/2006/relationships/image" Target="../media/image262.jpeg"/><Relationship Id="rId98" Type="http://schemas.openxmlformats.org/officeDocument/2006/relationships/image" Target="../media/image267.jpeg"/><Relationship Id="rId3" Type="http://schemas.openxmlformats.org/officeDocument/2006/relationships/image" Target="../media/image172.jpeg"/><Relationship Id="rId25" Type="http://schemas.openxmlformats.org/officeDocument/2006/relationships/image" Target="../media/image194.jpeg"/><Relationship Id="rId46" Type="http://schemas.openxmlformats.org/officeDocument/2006/relationships/image" Target="../media/image215.jpeg"/><Relationship Id="rId67" Type="http://schemas.openxmlformats.org/officeDocument/2006/relationships/image" Target="../media/image236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6.jpeg"/><Relationship Id="rId18" Type="http://schemas.openxmlformats.org/officeDocument/2006/relationships/image" Target="../media/image291.jpeg"/><Relationship Id="rId26" Type="http://schemas.openxmlformats.org/officeDocument/2006/relationships/image" Target="../media/image299.png"/><Relationship Id="rId39" Type="http://schemas.openxmlformats.org/officeDocument/2006/relationships/image" Target="../media/image308.jpeg"/><Relationship Id="rId21" Type="http://schemas.openxmlformats.org/officeDocument/2006/relationships/image" Target="../media/image294.jpeg"/><Relationship Id="rId34" Type="http://schemas.openxmlformats.org/officeDocument/2006/relationships/image" Target="cid:image026.jpg@01D44A78.2B1F0090" TargetMode="External"/><Relationship Id="rId7" Type="http://schemas.openxmlformats.org/officeDocument/2006/relationships/image" Target="../media/image280.jpeg"/><Relationship Id="rId2" Type="http://schemas.openxmlformats.org/officeDocument/2006/relationships/image" Target="../media/image275.jpeg"/><Relationship Id="rId16" Type="http://schemas.openxmlformats.org/officeDocument/2006/relationships/image" Target="../media/image289.jpeg"/><Relationship Id="rId20" Type="http://schemas.openxmlformats.org/officeDocument/2006/relationships/image" Target="../media/image293.jpeg"/><Relationship Id="rId29" Type="http://schemas.openxmlformats.org/officeDocument/2006/relationships/image" Target="../media/image301.jpeg"/><Relationship Id="rId41" Type="http://schemas.openxmlformats.org/officeDocument/2006/relationships/image" Target="../media/image39.png"/><Relationship Id="rId1" Type="http://schemas.openxmlformats.org/officeDocument/2006/relationships/image" Target="../media/image274.jpeg"/><Relationship Id="rId6" Type="http://schemas.openxmlformats.org/officeDocument/2006/relationships/image" Target="../media/image279.jpeg"/><Relationship Id="rId11" Type="http://schemas.openxmlformats.org/officeDocument/2006/relationships/image" Target="../media/image284.jpeg"/><Relationship Id="rId24" Type="http://schemas.openxmlformats.org/officeDocument/2006/relationships/image" Target="../media/image297.jpeg"/><Relationship Id="rId32" Type="http://schemas.openxmlformats.org/officeDocument/2006/relationships/image" Target="cid:image025.jpg@01D44A78.2B1F0090" TargetMode="External"/><Relationship Id="rId37" Type="http://schemas.openxmlformats.org/officeDocument/2006/relationships/image" Target="../media/image306.jpeg"/><Relationship Id="rId40" Type="http://schemas.openxmlformats.org/officeDocument/2006/relationships/image" Target="../media/image309.jpeg"/><Relationship Id="rId5" Type="http://schemas.openxmlformats.org/officeDocument/2006/relationships/image" Target="../media/image278.jpeg"/><Relationship Id="rId15" Type="http://schemas.openxmlformats.org/officeDocument/2006/relationships/image" Target="../media/image288.jpeg"/><Relationship Id="rId23" Type="http://schemas.openxmlformats.org/officeDocument/2006/relationships/image" Target="../media/image296.jpeg"/><Relationship Id="rId28" Type="http://schemas.openxmlformats.org/officeDocument/2006/relationships/image" Target="cid:image023.jpg@01D44A78.2B1F0090" TargetMode="External"/><Relationship Id="rId36" Type="http://schemas.openxmlformats.org/officeDocument/2006/relationships/image" Target="../media/image305.jpeg"/><Relationship Id="rId10" Type="http://schemas.openxmlformats.org/officeDocument/2006/relationships/image" Target="../media/image283.jpeg"/><Relationship Id="rId19" Type="http://schemas.openxmlformats.org/officeDocument/2006/relationships/image" Target="../media/image292.jpeg"/><Relationship Id="rId31" Type="http://schemas.openxmlformats.org/officeDocument/2006/relationships/image" Target="../media/image302.jpeg"/><Relationship Id="rId4" Type="http://schemas.openxmlformats.org/officeDocument/2006/relationships/image" Target="../media/image277.jpeg"/><Relationship Id="rId9" Type="http://schemas.openxmlformats.org/officeDocument/2006/relationships/image" Target="../media/image282.jpeg"/><Relationship Id="rId14" Type="http://schemas.openxmlformats.org/officeDocument/2006/relationships/image" Target="../media/image287.jpeg"/><Relationship Id="rId22" Type="http://schemas.openxmlformats.org/officeDocument/2006/relationships/image" Target="../media/image295.jpeg"/><Relationship Id="rId27" Type="http://schemas.openxmlformats.org/officeDocument/2006/relationships/image" Target="../media/image300.jpeg"/><Relationship Id="rId30" Type="http://schemas.openxmlformats.org/officeDocument/2006/relationships/image" Target="cid:image024.jpg@01D44A78.2B1F0090" TargetMode="External"/><Relationship Id="rId35" Type="http://schemas.openxmlformats.org/officeDocument/2006/relationships/image" Target="../media/image304.png"/><Relationship Id="rId8" Type="http://schemas.openxmlformats.org/officeDocument/2006/relationships/image" Target="../media/image281.jpeg"/><Relationship Id="rId3" Type="http://schemas.openxmlformats.org/officeDocument/2006/relationships/image" Target="../media/image276.jpeg"/><Relationship Id="rId12" Type="http://schemas.openxmlformats.org/officeDocument/2006/relationships/image" Target="../media/image285.png"/><Relationship Id="rId17" Type="http://schemas.openxmlformats.org/officeDocument/2006/relationships/image" Target="../media/image290.png"/><Relationship Id="rId25" Type="http://schemas.openxmlformats.org/officeDocument/2006/relationships/image" Target="../media/image298.png"/><Relationship Id="rId33" Type="http://schemas.openxmlformats.org/officeDocument/2006/relationships/image" Target="../media/image303.jpeg"/><Relationship Id="rId38" Type="http://schemas.openxmlformats.org/officeDocument/2006/relationships/image" Target="../media/image307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5.jpeg"/><Relationship Id="rId21" Type="http://schemas.openxmlformats.org/officeDocument/2006/relationships/image" Target="../media/image330.jpeg"/><Relationship Id="rId42" Type="http://schemas.openxmlformats.org/officeDocument/2006/relationships/image" Target="../media/image351.jpeg"/><Relationship Id="rId47" Type="http://schemas.openxmlformats.org/officeDocument/2006/relationships/image" Target="../media/image356.jpeg"/><Relationship Id="rId63" Type="http://schemas.openxmlformats.org/officeDocument/2006/relationships/image" Target="../media/image372.jpeg"/><Relationship Id="rId68" Type="http://schemas.openxmlformats.org/officeDocument/2006/relationships/image" Target="../media/image377.jpeg"/><Relationship Id="rId7" Type="http://schemas.openxmlformats.org/officeDocument/2006/relationships/image" Target="../media/image316.jpeg"/><Relationship Id="rId71" Type="http://schemas.openxmlformats.org/officeDocument/2006/relationships/image" Target="../media/image380.jpeg"/><Relationship Id="rId2" Type="http://schemas.openxmlformats.org/officeDocument/2006/relationships/image" Target="../media/image311.jpeg"/><Relationship Id="rId16" Type="http://schemas.openxmlformats.org/officeDocument/2006/relationships/image" Target="../media/image325.jpeg"/><Relationship Id="rId29" Type="http://schemas.openxmlformats.org/officeDocument/2006/relationships/image" Target="../media/image338.jpeg"/><Relationship Id="rId11" Type="http://schemas.openxmlformats.org/officeDocument/2006/relationships/image" Target="../media/image320.jpeg"/><Relationship Id="rId24" Type="http://schemas.openxmlformats.org/officeDocument/2006/relationships/image" Target="../media/image333.jpeg"/><Relationship Id="rId32" Type="http://schemas.openxmlformats.org/officeDocument/2006/relationships/image" Target="../media/image341.jpeg"/><Relationship Id="rId37" Type="http://schemas.openxmlformats.org/officeDocument/2006/relationships/image" Target="../media/image346.jpeg"/><Relationship Id="rId40" Type="http://schemas.openxmlformats.org/officeDocument/2006/relationships/image" Target="../media/image349.jpeg"/><Relationship Id="rId45" Type="http://schemas.openxmlformats.org/officeDocument/2006/relationships/image" Target="../media/image354.jpeg"/><Relationship Id="rId53" Type="http://schemas.openxmlformats.org/officeDocument/2006/relationships/image" Target="../media/image362.jpeg"/><Relationship Id="rId58" Type="http://schemas.openxmlformats.org/officeDocument/2006/relationships/image" Target="../media/image367.jpeg"/><Relationship Id="rId66" Type="http://schemas.openxmlformats.org/officeDocument/2006/relationships/image" Target="../media/image375.jpeg"/><Relationship Id="rId5" Type="http://schemas.openxmlformats.org/officeDocument/2006/relationships/image" Target="../media/image314.jpeg"/><Relationship Id="rId61" Type="http://schemas.openxmlformats.org/officeDocument/2006/relationships/image" Target="../media/image370.jpeg"/><Relationship Id="rId19" Type="http://schemas.openxmlformats.org/officeDocument/2006/relationships/image" Target="../media/image328.jpeg"/><Relationship Id="rId14" Type="http://schemas.openxmlformats.org/officeDocument/2006/relationships/image" Target="../media/image323.jpeg"/><Relationship Id="rId22" Type="http://schemas.openxmlformats.org/officeDocument/2006/relationships/image" Target="../media/image331.jpeg"/><Relationship Id="rId27" Type="http://schemas.openxmlformats.org/officeDocument/2006/relationships/image" Target="../media/image336.jpeg"/><Relationship Id="rId30" Type="http://schemas.openxmlformats.org/officeDocument/2006/relationships/image" Target="../media/image339.jpeg"/><Relationship Id="rId35" Type="http://schemas.openxmlformats.org/officeDocument/2006/relationships/image" Target="../media/image344.jpeg"/><Relationship Id="rId43" Type="http://schemas.openxmlformats.org/officeDocument/2006/relationships/image" Target="../media/image352.jpeg"/><Relationship Id="rId48" Type="http://schemas.openxmlformats.org/officeDocument/2006/relationships/image" Target="../media/image357.jpeg"/><Relationship Id="rId56" Type="http://schemas.openxmlformats.org/officeDocument/2006/relationships/image" Target="../media/image365.jpeg"/><Relationship Id="rId64" Type="http://schemas.openxmlformats.org/officeDocument/2006/relationships/image" Target="../media/image373.jpeg"/><Relationship Id="rId69" Type="http://schemas.openxmlformats.org/officeDocument/2006/relationships/image" Target="../media/image378.jpeg"/><Relationship Id="rId8" Type="http://schemas.openxmlformats.org/officeDocument/2006/relationships/image" Target="../media/image317.jpeg"/><Relationship Id="rId51" Type="http://schemas.openxmlformats.org/officeDocument/2006/relationships/image" Target="../media/image360.jpeg"/><Relationship Id="rId72" Type="http://schemas.openxmlformats.org/officeDocument/2006/relationships/image" Target="../media/image39.png"/><Relationship Id="rId3" Type="http://schemas.openxmlformats.org/officeDocument/2006/relationships/image" Target="../media/image312.jpeg"/><Relationship Id="rId12" Type="http://schemas.openxmlformats.org/officeDocument/2006/relationships/image" Target="../media/image321.jpeg"/><Relationship Id="rId17" Type="http://schemas.openxmlformats.org/officeDocument/2006/relationships/image" Target="../media/image326.jpeg"/><Relationship Id="rId25" Type="http://schemas.openxmlformats.org/officeDocument/2006/relationships/image" Target="../media/image334.jpeg"/><Relationship Id="rId33" Type="http://schemas.openxmlformats.org/officeDocument/2006/relationships/image" Target="../media/image342.jpeg"/><Relationship Id="rId38" Type="http://schemas.openxmlformats.org/officeDocument/2006/relationships/image" Target="../media/image347.jpeg"/><Relationship Id="rId46" Type="http://schemas.openxmlformats.org/officeDocument/2006/relationships/image" Target="../media/image355.jpeg"/><Relationship Id="rId59" Type="http://schemas.openxmlformats.org/officeDocument/2006/relationships/image" Target="../media/image368.jpeg"/><Relationship Id="rId67" Type="http://schemas.openxmlformats.org/officeDocument/2006/relationships/image" Target="../media/image376.jpeg"/><Relationship Id="rId20" Type="http://schemas.openxmlformats.org/officeDocument/2006/relationships/image" Target="../media/image329.jpeg"/><Relationship Id="rId41" Type="http://schemas.openxmlformats.org/officeDocument/2006/relationships/image" Target="../media/image350.jpeg"/><Relationship Id="rId54" Type="http://schemas.openxmlformats.org/officeDocument/2006/relationships/image" Target="../media/image363.jpeg"/><Relationship Id="rId62" Type="http://schemas.openxmlformats.org/officeDocument/2006/relationships/image" Target="../media/image371.jpeg"/><Relationship Id="rId70" Type="http://schemas.openxmlformats.org/officeDocument/2006/relationships/image" Target="../media/image379.jpeg"/><Relationship Id="rId1" Type="http://schemas.openxmlformats.org/officeDocument/2006/relationships/image" Target="../media/image310.jpeg"/><Relationship Id="rId6" Type="http://schemas.openxmlformats.org/officeDocument/2006/relationships/image" Target="../media/image315.jpeg"/><Relationship Id="rId15" Type="http://schemas.openxmlformats.org/officeDocument/2006/relationships/image" Target="../media/image324.jpeg"/><Relationship Id="rId23" Type="http://schemas.openxmlformats.org/officeDocument/2006/relationships/image" Target="../media/image332.jpeg"/><Relationship Id="rId28" Type="http://schemas.openxmlformats.org/officeDocument/2006/relationships/image" Target="../media/image337.jpeg"/><Relationship Id="rId36" Type="http://schemas.openxmlformats.org/officeDocument/2006/relationships/image" Target="../media/image345.jpeg"/><Relationship Id="rId49" Type="http://schemas.openxmlformats.org/officeDocument/2006/relationships/image" Target="../media/image358.jpeg"/><Relationship Id="rId57" Type="http://schemas.openxmlformats.org/officeDocument/2006/relationships/image" Target="../media/image366.jpeg"/><Relationship Id="rId10" Type="http://schemas.openxmlformats.org/officeDocument/2006/relationships/image" Target="../media/image319.jpeg"/><Relationship Id="rId31" Type="http://schemas.openxmlformats.org/officeDocument/2006/relationships/image" Target="../media/image340.jpeg"/><Relationship Id="rId44" Type="http://schemas.openxmlformats.org/officeDocument/2006/relationships/image" Target="../media/image353.jpeg"/><Relationship Id="rId52" Type="http://schemas.openxmlformats.org/officeDocument/2006/relationships/image" Target="../media/image361.jpeg"/><Relationship Id="rId60" Type="http://schemas.openxmlformats.org/officeDocument/2006/relationships/image" Target="../media/image369.jpeg"/><Relationship Id="rId65" Type="http://schemas.openxmlformats.org/officeDocument/2006/relationships/image" Target="../media/image374.jpeg"/><Relationship Id="rId4" Type="http://schemas.openxmlformats.org/officeDocument/2006/relationships/image" Target="../media/image313.jpeg"/><Relationship Id="rId9" Type="http://schemas.openxmlformats.org/officeDocument/2006/relationships/image" Target="../media/image318.jpeg"/><Relationship Id="rId13" Type="http://schemas.openxmlformats.org/officeDocument/2006/relationships/image" Target="../media/image322.jpeg"/><Relationship Id="rId18" Type="http://schemas.openxmlformats.org/officeDocument/2006/relationships/image" Target="../media/image327.jpeg"/><Relationship Id="rId39" Type="http://schemas.openxmlformats.org/officeDocument/2006/relationships/image" Target="../media/image348.jpeg"/><Relationship Id="rId34" Type="http://schemas.openxmlformats.org/officeDocument/2006/relationships/image" Target="../media/image343.jpeg"/><Relationship Id="rId50" Type="http://schemas.openxmlformats.org/officeDocument/2006/relationships/image" Target="../media/image359.jpeg"/><Relationship Id="rId55" Type="http://schemas.openxmlformats.org/officeDocument/2006/relationships/image" Target="../media/image3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1370935</xdr:colOff>
      <xdr:row>5</xdr:row>
      <xdr:rowOff>0</xdr:rowOff>
    </xdr:from>
    <xdr:to>
      <xdr:col>2</xdr:col>
      <xdr:colOff>1278</xdr:colOff>
      <xdr:row>7</xdr:row>
      <xdr:rowOff>127942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3AFD071-409C-4257-8E9C-87FB37C9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57089" flipH="1">
          <a:off x="1675735" y="1457010"/>
          <a:ext cx="554393" cy="54704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0</xdr:row>
      <xdr:rowOff>133350</xdr:rowOff>
    </xdr:from>
    <xdr:to>
      <xdr:col>2</xdr:col>
      <xdr:colOff>1114426</xdr:colOff>
      <xdr:row>3</xdr:row>
      <xdr:rowOff>269859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D165253-738E-4176-815A-844CEAB8B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6" y="133350"/>
          <a:ext cx="3143250" cy="708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1200150</xdr:colOff>
      <xdr:row>17</xdr:row>
      <xdr:rowOff>76200</xdr:rowOff>
    </xdr:from>
    <xdr:to>
      <xdr:col>1</xdr:col>
      <xdr:colOff>1895475</xdr:colOff>
      <xdr:row>17</xdr:row>
      <xdr:rowOff>771525</xdr:rowOff>
    </xdr:to>
    <xdr:pic>
      <xdr:nvPicPr>
        <xdr:cNvPr id="11" name="Рисунок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5BCC10-3ED4-42F3-B201-5396AB27F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950" y="363855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17</xdr:row>
      <xdr:rowOff>76200</xdr:rowOff>
    </xdr:from>
    <xdr:to>
      <xdr:col>2</xdr:col>
      <xdr:colOff>1249308</xdr:colOff>
      <xdr:row>17</xdr:row>
      <xdr:rowOff>771525</xdr:rowOff>
    </xdr:to>
    <xdr:pic>
      <xdr:nvPicPr>
        <xdr:cNvPr id="12" name="Рисунок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F035619-FACB-47B9-BF53-02FC272F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6" y="3638550"/>
          <a:ext cx="687332" cy="695325"/>
        </a:xfrm>
        <a:prstGeom prst="rect">
          <a:avLst/>
        </a:prstGeom>
      </xdr:spPr>
    </xdr:pic>
    <xdr:clientData/>
  </xdr:twoCellAnchor>
  <xdr:twoCellAnchor editAs="oneCell">
    <xdr:from>
      <xdr:col>2</xdr:col>
      <xdr:colOff>1771650</xdr:colOff>
      <xdr:row>17</xdr:row>
      <xdr:rowOff>76200</xdr:rowOff>
    </xdr:from>
    <xdr:to>
      <xdr:col>2</xdr:col>
      <xdr:colOff>2476500</xdr:colOff>
      <xdr:row>17</xdr:row>
      <xdr:rowOff>789245</xdr:rowOff>
    </xdr:to>
    <xdr:pic>
      <xdr:nvPicPr>
        <xdr:cNvPr id="15" name="Рисунок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C961A47-8709-4701-A2F5-607977DDA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3638550"/>
          <a:ext cx="704850" cy="713045"/>
        </a:xfrm>
        <a:prstGeom prst="rect">
          <a:avLst/>
        </a:prstGeom>
      </xdr:spPr>
    </xdr:pic>
    <xdr:clientData/>
  </xdr:twoCellAnchor>
  <xdr:oneCellAnchor>
    <xdr:from>
      <xdr:col>1</xdr:col>
      <xdr:colOff>971550</xdr:colOff>
      <xdr:row>17</xdr:row>
      <xdr:rowOff>714375</xdr:rowOff>
    </xdr:from>
    <xdr:ext cx="1209675" cy="264560"/>
    <xdr:sp macro="" textlink="">
      <xdr:nvSpPr>
        <xdr:cNvPr id="17" name="TextBox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D1CC37-2A4F-451F-A6C9-399954195AD3}"/>
            </a:ext>
          </a:extLst>
        </xdr:cNvPr>
        <xdr:cNvSpPr txBox="1"/>
      </xdr:nvSpPr>
      <xdr:spPr>
        <a:xfrm>
          <a:off x="1276350" y="4276725"/>
          <a:ext cx="12096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 b="1">
              <a:latin typeface="Arial" panose="020B0604020202020204" pitchFamily="34" charset="0"/>
              <a:cs typeface="Arial" panose="020B0604020202020204" pitchFamily="34" charset="0"/>
            </a:rPr>
            <a:t>Сделать</a:t>
          </a: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100" b="1">
              <a:latin typeface="Arial" panose="020B0604020202020204" pitchFamily="34" charset="0"/>
              <a:cs typeface="Arial" panose="020B0604020202020204" pitchFamily="34" charset="0"/>
            </a:rPr>
            <a:t>заказ</a:t>
          </a:r>
        </a:p>
      </xdr:txBody>
    </xdr:sp>
    <xdr:clientData/>
  </xdr:oneCellAnchor>
  <xdr:oneCellAnchor>
    <xdr:from>
      <xdr:col>2</xdr:col>
      <xdr:colOff>228601</xdr:colOff>
      <xdr:row>17</xdr:row>
      <xdr:rowOff>714375</xdr:rowOff>
    </xdr:from>
    <xdr:ext cx="1390650" cy="254557"/>
    <xdr:sp macro="" textlink="">
      <xdr:nvSpPr>
        <xdr:cNvPr id="18" name="TextBox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536CB11-1E5E-4682-AC14-3ACA35D7B0F1}"/>
            </a:ext>
          </a:extLst>
        </xdr:cNvPr>
        <xdr:cNvSpPr txBox="1"/>
      </xdr:nvSpPr>
      <xdr:spPr>
        <a:xfrm>
          <a:off x="2457451" y="4276725"/>
          <a:ext cx="139065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 b="1">
              <a:latin typeface="Arial" panose="020B0604020202020204" pitchFamily="34" charset="0"/>
              <a:cs typeface="Arial" panose="020B0604020202020204" pitchFamily="34" charset="0"/>
            </a:rPr>
            <a:t>Все прайс</a:t>
          </a: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100" b="1">
              <a:latin typeface="Arial" panose="020B0604020202020204" pitchFamily="34" charset="0"/>
              <a:cs typeface="Arial" panose="020B0604020202020204" pitchFamily="34" charset="0"/>
            </a:rPr>
            <a:t>листы</a:t>
          </a:r>
        </a:p>
      </xdr:txBody>
    </xdr:sp>
    <xdr:clientData/>
  </xdr:oneCellAnchor>
  <xdr:oneCellAnchor>
    <xdr:from>
      <xdr:col>2</xdr:col>
      <xdr:colOff>1685925</xdr:colOff>
      <xdr:row>17</xdr:row>
      <xdr:rowOff>733425</xdr:rowOff>
    </xdr:from>
    <xdr:ext cx="866775" cy="254557"/>
    <xdr:sp macro="" textlink="">
      <xdr:nvSpPr>
        <xdr:cNvPr id="19" name="TextBox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7557223-107E-41F4-8821-2CF486D5A72C}"/>
            </a:ext>
          </a:extLst>
        </xdr:cNvPr>
        <xdr:cNvSpPr txBox="1"/>
      </xdr:nvSpPr>
      <xdr:spPr>
        <a:xfrm>
          <a:off x="3914775" y="4295775"/>
          <a:ext cx="8667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ru-RU" sz="1100" b="1">
              <a:latin typeface="Arial" panose="020B0604020202020204" pitchFamily="34" charset="0"/>
              <a:cs typeface="Arial" panose="020B0604020202020204" pitchFamily="34" charset="0"/>
            </a:rPr>
            <a:t>Доставка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537882</xdr:colOff>
      <xdr:row>2</xdr:row>
      <xdr:rowOff>78444</xdr:rowOff>
    </xdr:from>
    <xdr:to>
      <xdr:col>1</xdr:col>
      <xdr:colOff>1792941</xdr:colOff>
      <xdr:row>2</xdr:row>
      <xdr:rowOff>1264760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1B033E6-5E1F-44B4-B047-25C705A2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732" y="659469"/>
          <a:ext cx="1255059" cy="1186316"/>
        </a:xfrm>
        <a:prstGeom prst="rect">
          <a:avLst/>
        </a:prstGeom>
      </xdr:spPr>
    </xdr:pic>
    <xdr:clientData/>
  </xdr:twoCellAnchor>
  <xdr:twoCellAnchor editAs="oneCell">
    <xdr:from>
      <xdr:col>1</xdr:col>
      <xdr:colOff>418941</xdr:colOff>
      <xdr:row>3</xdr:row>
      <xdr:rowOff>93971</xdr:rowOff>
    </xdr:from>
    <xdr:to>
      <xdr:col>1</xdr:col>
      <xdr:colOff>2017059</xdr:colOff>
      <xdr:row>3</xdr:row>
      <xdr:rowOff>1300137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8EEF624-5BAB-4BE3-ABC1-9D536D54B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791" y="2037071"/>
          <a:ext cx="1598118" cy="1206166"/>
        </a:xfrm>
        <a:prstGeom prst="rect">
          <a:avLst/>
        </a:prstGeom>
      </xdr:spPr>
    </xdr:pic>
    <xdr:clientData/>
  </xdr:twoCellAnchor>
  <xdr:twoCellAnchor editAs="oneCell">
    <xdr:from>
      <xdr:col>1</xdr:col>
      <xdr:colOff>557736</xdr:colOff>
      <xdr:row>4</xdr:row>
      <xdr:rowOff>143119</xdr:rowOff>
    </xdr:from>
    <xdr:to>
      <xdr:col>1</xdr:col>
      <xdr:colOff>2263588</xdr:colOff>
      <xdr:row>4</xdr:row>
      <xdr:rowOff>1298374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BB3CC82-A843-4345-B04C-7DCBDED0C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586" y="3448294"/>
          <a:ext cx="1705852" cy="1155255"/>
        </a:xfrm>
        <a:prstGeom prst="rect">
          <a:avLst/>
        </a:prstGeom>
      </xdr:spPr>
    </xdr:pic>
    <xdr:clientData/>
  </xdr:twoCellAnchor>
  <xdr:twoCellAnchor editAs="oneCell">
    <xdr:from>
      <xdr:col>1</xdr:col>
      <xdr:colOff>181060</xdr:colOff>
      <xdr:row>5</xdr:row>
      <xdr:rowOff>259502</xdr:rowOff>
    </xdr:from>
    <xdr:to>
      <xdr:col>1</xdr:col>
      <xdr:colOff>2543735</xdr:colOff>
      <xdr:row>5</xdr:row>
      <xdr:rowOff>1516898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9E50E1B-9BDA-4BE6-B49A-F73C4E73D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7910" y="4926752"/>
          <a:ext cx="2362675" cy="1257396"/>
        </a:xfrm>
        <a:prstGeom prst="rect">
          <a:avLst/>
        </a:prstGeom>
      </xdr:spPr>
    </xdr:pic>
    <xdr:clientData/>
  </xdr:twoCellAnchor>
  <xdr:twoCellAnchor editAs="oneCell">
    <xdr:from>
      <xdr:col>1</xdr:col>
      <xdr:colOff>230206</xdr:colOff>
      <xdr:row>6</xdr:row>
      <xdr:rowOff>297441</xdr:rowOff>
    </xdr:from>
    <xdr:to>
      <xdr:col>1</xdr:col>
      <xdr:colOff>2323325</xdr:colOff>
      <xdr:row>6</xdr:row>
      <xdr:rowOff>1214699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DAC5C2E-A1E8-4D12-96E8-94A9E5EC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056" y="6574416"/>
          <a:ext cx="2093119" cy="917258"/>
        </a:xfrm>
        <a:prstGeom prst="rect">
          <a:avLst/>
        </a:prstGeom>
      </xdr:spPr>
    </xdr:pic>
    <xdr:clientData/>
  </xdr:twoCellAnchor>
  <xdr:twoCellAnchor editAs="oneCell">
    <xdr:from>
      <xdr:col>1</xdr:col>
      <xdr:colOff>414618</xdr:colOff>
      <xdr:row>7</xdr:row>
      <xdr:rowOff>123265</xdr:rowOff>
    </xdr:from>
    <xdr:to>
      <xdr:col>1</xdr:col>
      <xdr:colOff>2263588</xdr:colOff>
      <xdr:row>7</xdr:row>
      <xdr:rowOff>1558387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807F43D-3F5A-4FC5-9F7A-D3A965A5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1468" y="8009965"/>
          <a:ext cx="1848970" cy="1435122"/>
        </a:xfrm>
        <a:prstGeom prst="rect">
          <a:avLst/>
        </a:prstGeom>
      </xdr:spPr>
    </xdr:pic>
    <xdr:clientData/>
  </xdr:twoCellAnchor>
  <xdr:twoCellAnchor editAs="oneCell">
    <xdr:from>
      <xdr:col>1</xdr:col>
      <xdr:colOff>284471</xdr:colOff>
      <xdr:row>8</xdr:row>
      <xdr:rowOff>194824</xdr:rowOff>
    </xdr:from>
    <xdr:to>
      <xdr:col>1</xdr:col>
      <xdr:colOff>2297206</xdr:colOff>
      <xdr:row>8</xdr:row>
      <xdr:rowOff>1757056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C96509D-25DF-4BBA-B006-900FB24EA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321" y="9853174"/>
          <a:ext cx="2012735" cy="1562232"/>
        </a:xfrm>
        <a:prstGeom prst="rect">
          <a:avLst/>
        </a:prstGeom>
      </xdr:spPr>
    </xdr:pic>
    <xdr:clientData/>
  </xdr:twoCellAnchor>
  <xdr:twoCellAnchor editAs="oneCell">
    <xdr:from>
      <xdr:col>1</xdr:col>
      <xdr:colOff>299998</xdr:colOff>
      <xdr:row>9</xdr:row>
      <xdr:rowOff>300001</xdr:rowOff>
    </xdr:from>
    <xdr:to>
      <xdr:col>1</xdr:col>
      <xdr:colOff>2285021</xdr:colOff>
      <xdr:row>9</xdr:row>
      <xdr:rowOff>1759324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9891A9F-5AD4-4BF7-9292-79B60E79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6848" y="11730001"/>
          <a:ext cx="1985023" cy="1459323"/>
        </a:xfrm>
        <a:prstGeom prst="rect">
          <a:avLst/>
        </a:prstGeom>
      </xdr:spPr>
    </xdr:pic>
    <xdr:clientData/>
  </xdr:twoCellAnchor>
  <xdr:twoCellAnchor editAs="oneCell">
    <xdr:from>
      <xdr:col>1</xdr:col>
      <xdr:colOff>214678</xdr:colOff>
      <xdr:row>10</xdr:row>
      <xdr:rowOff>237088</xdr:rowOff>
    </xdr:from>
    <xdr:to>
      <xdr:col>1</xdr:col>
      <xdr:colOff>2252382</xdr:colOff>
      <xdr:row>10</xdr:row>
      <xdr:rowOff>1735140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B98215D-EB78-44C8-8AF4-40621B202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528" y="13695913"/>
          <a:ext cx="2037704" cy="1498052"/>
        </a:xfrm>
        <a:prstGeom prst="rect">
          <a:avLst/>
        </a:prstGeom>
      </xdr:spPr>
    </xdr:pic>
    <xdr:clientData/>
  </xdr:twoCellAnchor>
  <xdr:twoCellAnchor editAs="oneCell">
    <xdr:from>
      <xdr:col>1</xdr:col>
      <xdr:colOff>342263</xdr:colOff>
      <xdr:row>11</xdr:row>
      <xdr:rowOff>140558</xdr:rowOff>
    </xdr:from>
    <xdr:to>
      <xdr:col>1</xdr:col>
      <xdr:colOff>2162735</xdr:colOff>
      <xdr:row>11</xdr:row>
      <xdr:rowOff>1523468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AC0E1BE-9114-43A7-8416-DEAC09F10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113" y="15590108"/>
          <a:ext cx="1820472" cy="1382910"/>
        </a:xfrm>
        <a:prstGeom prst="rect">
          <a:avLst/>
        </a:prstGeom>
      </xdr:spPr>
    </xdr:pic>
    <xdr:clientData/>
  </xdr:twoCellAnchor>
  <xdr:twoCellAnchor editAs="oneCell">
    <xdr:from>
      <xdr:col>1</xdr:col>
      <xdr:colOff>357793</xdr:colOff>
      <xdr:row>12</xdr:row>
      <xdr:rowOff>245736</xdr:rowOff>
    </xdr:from>
    <xdr:to>
      <xdr:col>1</xdr:col>
      <xdr:colOff>2353234</xdr:colOff>
      <xdr:row>12</xdr:row>
      <xdr:rowOff>1761560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4C913AB-1DDA-4A96-A217-436F249E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4643" y="17466936"/>
          <a:ext cx="1995441" cy="1515824"/>
        </a:xfrm>
        <a:prstGeom prst="rect">
          <a:avLst/>
        </a:prstGeom>
      </xdr:spPr>
    </xdr:pic>
    <xdr:clientData/>
  </xdr:twoCellAnchor>
  <xdr:twoCellAnchor editAs="oneCell">
    <xdr:from>
      <xdr:col>1</xdr:col>
      <xdr:colOff>261263</xdr:colOff>
      <xdr:row>13</xdr:row>
      <xdr:rowOff>70764</xdr:rowOff>
    </xdr:from>
    <xdr:to>
      <xdr:col>1</xdr:col>
      <xdr:colOff>2319616</xdr:colOff>
      <xdr:row>13</xdr:row>
      <xdr:rowOff>1745946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6BEC040-6F0F-4D57-A129-6E536232A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8113" y="19130289"/>
          <a:ext cx="2058353" cy="1675182"/>
        </a:xfrm>
        <a:prstGeom prst="rect">
          <a:avLst/>
        </a:prstGeom>
      </xdr:spPr>
    </xdr:pic>
    <xdr:clientData/>
  </xdr:twoCellAnchor>
  <xdr:twoCellAnchor editAs="oneCell">
    <xdr:from>
      <xdr:col>1</xdr:col>
      <xdr:colOff>332822</xdr:colOff>
      <xdr:row>14</xdr:row>
      <xdr:rowOff>209558</xdr:rowOff>
    </xdr:from>
    <xdr:to>
      <xdr:col>1</xdr:col>
      <xdr:colOff>2241176</xdr:colOff>
      <xdr:row>14</xdr:row>
      <xdr:rowOff>1762664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9E09EC1-BACB-4FAD-9392-24884B3C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672" y="21040733"/>
          <a:ext cx="1908354" cy="1553106"/>
        </a:xfrm>
        <a:prstGeom prst="rect">
          <a:avLst/>
        </a:prstGeom>
      </xdr:spPr>
    </xdr:pic>
    <xdr:clientData/>
  </xdr:twoCellAnchor>
  <xdr:twoCellAnchor editAs="oneCell">
    <xdr:from>
      <xdr:col>8</xdr:col>
      <xdr:colOff>904875</xdr:colOff>
      <xdr:row>0</xdr:row>
      <xdr:rowOff>123825</xdr:rowOff>
    </xdr:from>
    <xdr:to>
      <xdr:col>10</xdr:col>
      <xdr:colOff>149246</xdr:colOff>
      <xdr:row>2</xdr:row>
      <xdr:rowOff>285354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5BA7235-BD5E-4D85-A46C-F1341D60D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258" r="1884"/>
        <a:stretch/>
      </xdr:blipFill>
      <xdr:spPr>
        <a:xfrm rot="20918134">
          <a:off x="9267825" y="123825"/>
          <a:ext cx="539771" cy="5996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560294</xdr:colOff>
      <xdr:row>17</xdr:row>
      <xdr:rowOff>112060</xdr:rowOff>
    </xdr:from>
    <xdr:to>
      <xdr:col>1</xdr:col>
      <xdr:colOff>2050676</xdr:colOff>
      <xdr:row>17</xdr:row>
      <xdr:rowOff>1582570</xdr:rowOff>
    </xdr:to>
    <xdr:pic>
      <xdr:nvPicPr>
        <xdr:cNvPr id="2" name="Picture 83" descr="&amp;Kcy;&amp;rcy;&amp;iecy;&amp;scy;&amp;lcy;&amp;ocy; (&amp;fcy;&amp;lcy;&amp;ocy;&amp;kcy;)">
          <a:extLst>
            <a:ext uri="{FF2B5EF4-FFF2-40B4-BE49-F238E27FC236}">
              <a16:creationId xmlns:a16="http://schemas.microsoft.com/office/drawing/2014/main" id="{5D5902B2-C06B-4096-B82E-BDDCA4106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17644" y="28591810"/>
          <a:ext cx="1490382" cy="1470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481852</xdr:colOff>
      <xdr:row>18</xdr:row>
      <xdr:rowOff>168088</xdr:rowOff>
    </xdr:from>
    <xdr:to>
      <xdr:col>1</xdr:col>
      <xdr:colOff>2442882</xdr:colOff>
      <xdr:row>18</xdr:row>
      <xdr:rowOff>1615951</xdr:rowOff>
    </xdr:to>
    <xdr:pic>
      <xdr:nvPicPr>
        <xdr:cNvPr id="3" name="Picture 84" descr="&amp;Dcy;&amp;icy;&amp;vcy;&amp;acy;&amp;ncy; &amp;ocy;&amp;dcy;&amp;ncy;&amp;ocy;&amp;scy;&amp;tcy;&amp;ocy;&amp;rcy;&amp;ocy;&amp;ncy;&amp;ncy;&amp;icy;&amp;jcy; (&amp;fcy;&amp;lcy;&amp;ocy;&amp;kcy;)">
          <a:extLst>
            <a:ext uri="{FF2B5EF4-FFF2-40B4-BE49-F238E27FC236}">
              <a16:creationId xmlns:a16="http://schemas.microsoft.com/office/drawing/2014/main" id="{91C72CA5-76BF-47B8-91AF-3C0AA5E22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39202" y="30419488"/>
          <a:ext cx="1961030" cy="1447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515470</xdr:colOff>
      <xdr:row>19</xdr:row>
      <xdr:rowOff>156884</xdr:rowOff>
    </xdr:from>
    <xdr:to>
      <xdr:col>1</xdr:col>
      <xdr:colOff>2454088</xdr:colOff>
      <xdr:row>19</xdr:row>
      <xdr:rowOff>1620351</xdr:rowOff>
    </xdr:to>
    <xdr:pic>
      <xdr:nvPicPr>
        <xdr:cNvPr id="4" name="Picture 85" descr="&amp;Dcy;&amp;icy;&amp;vcy;&amp;acy;&amp;ncy; &amp;dcy;&amp;vcy;&amp;ucy;&amp;khcy;&amp;scy;&amp;tcy;&amp;ocy;&amp;rcy;&amp;ocy;&amp;ncy;&amp;ncy;&amp;icy;&amp;jcy; 4-&amp;khcy; &amp;mcy;&amp;iecy;&amp;scy;&amp;tcy;&amp;ncy;&amp;ycy;&amp;jcy; (&amp;fcy;&amp;lcy;&amp;ocy;&amp;kcy;)">
          <a:extLst>
            <a:ext uri="{FF2B5EF4-FFF2-40B4-BE49-F238E27FC236}">
              <a16:creationId xmlns:a16="http://schemas.microsoft.com/office/drawing/2014/main" id="{84333BF1-6833-40A7-ABCF-B604BB99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72820" y="32179934"/>
          <a:ext cx="1938618" cy="1463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175218</xdr:colOff>
      <xdr:row>20</xdr:row>
      <xdr:rowOff>190498</xdr:rowOff>
    </xdr:from>
    <xdr:to>
      <xdr:col>1</xdr:col>
      <xdr:colOff>2666999</xdr:colOff>
      <xdr:row>20</xdr:row>
      <xdr:rowOff>1593307</xdr:rowOff>
    </xdr:to>
    <xdr:pic>
      <xdr:nvPicPr>
        <xdr:cNvPr id="5" name="Picture 86" descr="&amp;Dcy;&amp;icy;&amp;vcy;&amp;acy;&amp;ncy; &amp;dcy;&amp;vcy;&amp;ucy;&amp;khcy;&amp;scy;&amp;tcy;&amp;ocy;&amp;rcy;&amp;ocy;&amp;ncy;&amp;ncy;&amp;icy;&amp;jcy; 6-&amp;tcy;&amp;icy; &amp;mcy;&amp;iecy;&amp;scy;&amp;tcy;&amp;ncy;&amp;ycy;&amp;jcy; (&amp;fcy;&amp;lcy;&amp;ocy;&amp;kcy;)">
          <a:extLst>
            <a:ext uri="{FF2B5EF4-FFF2-40B4-BE49-F238E27FC236}">
              <a16:creationId xmlns:a16="http://schemas.microsoft.com/office/drawing/2014/main" id="{D87BB0A3-4347-4338-B4D3-CA254974F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32568" y="33985198"/>
          <a:ext cx="2491781" cy="1402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201705</xdr:colOff>
      <xdr:row>21</xdr:row>
      <xdr:rowOff>313766</xdr:rowOff>
    </xdr:from>
    <xdr:to>
      <xdr:col>1</xdr:col>
      <xdr:colOff>2465293</xdr:colOff>
      <xdr:row>21</xdr:row>
      <xdr:rowOff>1496541</xdr:rowOff>
    </xdr:to>
    <xdr:pic>
      <xdr:nvPicPr>
        <xdr:cNvPr id="6" name="Picture 87" descr="&amp;Bcy;&amp;acy;&amp;ncy;&amp;kcy;&amp;iecy;&amp;tcy;&amp;kcy;&amp;acy; (&amp;kcy;&amp;ocy;&amp;zhcy;&amp;zcy;&amp;acy;&amp;mcy;)">
          <a:extLst>
            <a:ext uri="{FF2B5EF4-FFF2-40B4-BE49-F238E27FC236}">
              <a16:creationId xmlns:a16="http://schemas.microsoft.com/office/drawing/2014/main" id="{1C806F4D-A0EC-437D-BDE8-4DCB4B2E6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59055" y="35880116"/>
          <a:ext cx="2263588" cy="118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504265</xdr:colOff>
      <xdr:row>22</xdr:row>
      <xdr:rowOff>179295</xdr:rowOff>
    </xdr:from>
    <xdr:to>
      <xdr:col>1</xdr:col>
      <xdr:colOff>2297205</xdr:colOff>
      <xdr:row>22</xdr:row>
      <xdr:rowOff>1602558</xdr:rowOff>
    </xdr:to>
    <xdr:pic>
      <xdr:nvPicPr>
        <xdr:cNvPr id="7" name="Picture 88" descr="&amp;Kcy;&amp;rcy;&amp;iecy;&amp;scy;&amp;lcy;&amp;ocy; &amp;mcy;&amp;yacy;&amp;gcy;&amp;kcy;&amp;ocy;&amp;iecy;">
          <a:extLst>
            <a:ext uri="{FF2B5EF4-FFF2-40B4-BE49-F238E27FC236}">
              <a16:creationId xmlns:a16="http://schemas.microsoft.com/office/drawing/2014/main" id="{ECC7C930-F760-4480-B145-C3977535E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61615" y="37517295"/>
          <a:ext cx="1792940" cy="1423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296548</xdr:colOff>
      <xdr:row>23</xdr:row>
      <xdr:rowOff>148782</xdr:rowOff>
    </xdr:from>
    <xdr:to>
      <xdr:col>1</xdr:col>
      <xdr:colOff>2409264</xdr:colOff>
      <xdr:row>23</xdr:row>
      <xdr:rowOff>1668907</xdr:rowOff>
    </xdr:to>
    <xdr:pic>
      <xdr:nvPicPr>
        <xdr:cNvPr id="8" name="Picture 89" descr="&amp;Dcy;&amp;icy;&amp;vcy;&amp;acy;&amp;ncy; &amp;mcy;&amp;yacy;&amp;gcy;&amp;kcy;&amp;icy;&amp;jcy;">
          <a:extLst>
            <a:ext uri="{FF2B5EF4-FFF2-40B4-BE49-F238E27FC236}">
              <a16:creationId xmlns:a16="http://schemas.microsoft.com/office/drawing/2014/main" id="{9894F94B-6821-49DA-A7AC-E8EBE4FA6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3898" y="39258432"/>
          <a:ext cx="2112716" cy="152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358589</xdr:colOff>
      <xdr:row>24</xdr:row>
      <xdr:rowOff>123264</xdr:rowOff>
    </xdr:from>
    <xdr:to>
      <xdr:col>1</xdr:col>
      <xdr:colOff>2218765</xdr:colOff>
      <xdr:row>24</xdr:row>
      <xdr:rowOff>1697260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94B7C53-78BF-41E9-884B-A1E4CE01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15939" y="41004564"/>
          <a:ext cx="1860176" cy="1573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257736</xdr:colOff>
      <xdr:row>4</xdr:row>
      <xdr:rowOff>291352</xdr:rowOff>
    </xdr:from>
    <xdr:to>
      <xdr:col>1</xdr:col>
      <xdr:colOff>2460519</xdr:colOff>
      <xdr:row>4</xdr:row>
      <xdr:rowOff>1378323</xdr:rowOff>
    </xdr:to>
    <xdr:pic>
      <xdr:nvPicPr>
        <xdr:cNvPr id="10" name="Рисунок 9" descr="http://krovati-raskladushki.ru/32-179-thickbox/krovat-raskladuschka-detskaya-s-matrasom-na-lamelyah.jpg">
          <a:extLst>
            <a:ext uri="{FF2B5EF4-FFF2-40B4-BE49-F238E27FC236}">
              <a16:creationId xmlns:a16="http://schemas.microsoft.com/office/drawing/2014/main" id="{713B17FF-C7F2-4F28-9290-8ED2F3B66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15086" y="4349002"/>
          <a:ext cx="2202783" cy="1086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168088</xdr:colOff>
      <xdr:row>7</xdr:row>
      <xdr:rowOff>481853</xdr:rowOff>
    </xdr:from>
    <xdr:to>
      <xdr:col>1</xdr:col>
      <xdr:colOff>2687304</xdr:colOff>
      <xdr:row>7</xdr:row>
      <xdr:rowOff>487455</xdr:rowOff>
    </xdr:to>
    <xdr:pic>
      <xdr:nvPicPr>
        <xdr:cNvPr id="11" name="Рисунок 10" descr="кроватка2.jpg">
          <a:extLst>
            <a:ext uri="{FF2B5EF4-FFF2-40B4-BE49-F238E27FC236}">
              <a16:creationId xmlns:a16="http://schemas.microsoft.com/office/drawing/2014/main" id="{DE996352-E3A5-475B-8DF9-DA3BCD6B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25438" y="10006853"/>
          <a:ext cx="2519216" cy="5602"/>
        </a:xfrm>
        <a:prstGeom prst="rect">
          <a:avLst/>
        </a:prstGeom>
      </xdr:spPr>
    </xdr:pic>
    <xdr:clientData/>
  </xdr:twoCellAnchor>
  <xdr:twoCellAnchor editAs="oneCell">
    <xdr:from>
      <xdr:col>1</xdr:col>
      <xdr:colOff>212913</xdr:colOff>
      <xdr:row>7</xdr:row>
      <xdr:rowOff>513229</xdr:rowOff>
    </xdr:from>
    <xdr:to>
      <xdr:col>1</xdr:col>
      <xdr:colOff>2733810</xdr:colOff>
      <xdr:row>7</xdr:row>
      <xdr:rowOff>1947581</xdr:rowOff>
    </xdr:to>
    <xdr:pic>
      <xdr:nvPicPr>
        <xdr:cNvPr id="12" name="Рисунок 11" descr="кроватка2.jpg">
          <a:extLst>
            <a:ext uri="{FF2B5EF4-FFF2-40B4-BE49-F238E27FC236}">
              <a16:creationId xmlns:a16="http://schemas.microsoft.com/office/drawing/2014/main" id="{3C15E06E-9FEA-45C7-A9CE-7DCD27A47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263" y="10038229"/>
          <a:ext cx="2520897" cy="1434352"/>
        </a:xfrm>
        <a:prstGeom prst="rect">
          <a:avLst/>
        </a:prstGeom>
      </xdr:spPr>
    </xdr:pic>
    <xdr:clientData/>
  </xdr:twoCellAnchor>
  <xdr:twoCellAnchor editAs="oneCell">
    <xdr:from>
      <xdr:col>1</xdr:col>
      <xdr:colOff>459442</xdr:colOff>
      <xdr:row>8</xdr:row>
      <xdr:rowOff>56029</xdr:rowOff>
    </xdr:from>
    <xdr:to>
      <xdr:col>1</xdr:col>
      <xdr:colOff>1994647</xdr:colOff>
      <xdr:row>8</xdr:row>
      <xdr:rowOff>1678705</xdr:rowOff>
    </xdr:to>
    <xdr:pic>
      <xdr:nvPicPr>
        <xdr:cNvPr id="13" name="Рисунок 12" descr="Кровать двухъярусная жел-сал.jpg">
          <a:extLst>
            <a:ext uri="{FF2B5EF4-FFF2-40B4-BE49-F238E27FC236}">
              <a16:creationId xmlns:a16="http://schemas.microsoft.com/office/drawing/2014/main" id="{5B43C814-7526-4564-A7D1-59FB5AC06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92" y="12057529"/>
          <a:ext cx="1535205" cy="1622676"/>
        </a:xfrm>
        <a:prstGeom prst="rect">
          <a:avLst/>
        </a:prstGeom>
      </xdr:spPr>
    </xdr:pic>
    <xdr:clientData/>
  </xdr:twoCellAnchor>
  <xdr:twoCellAnchor editAs="oneCell">
    <xdr:from>
      <xdr:col>1</xdr:col>
      <xdr:colOff>358587</xdr:colOff>
      <xdr:row>3</xdr:row>
      <xdr:rowOff>100852</xdr:rowOff>
    </xdr:from>
    <xdr:to>
      <xdr:col>1</xdr:col>
      <xdr:colOff>1725704</xdr:colOff>
      <xdr:row>3</xdr:row>
      <xdr:rowOff>1705292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45365EC-17D3-4376-B0D3-0FD7CB22A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937" y="2386852"/>
          <a:ext cx="1367117" cy="1604440"/>
        </a:xfrm>
        <a:prstGeom prst="rect">
          <a:avLst/>
        </a:prstGeom>
      </xdr:spPr>
    </xdr:pic>
    <xdr:clientData/>
  </xdr:twoCellAnchor>
  <xdr:twoCellAnchor editAs="oneCell">
    <xdr:from>
      <xdr:col>1</xdr:col>
      <xdr:colOff>553412</xdr:colOff>
      <xdr:row>2</xdr:row>
      <xdr:rowOff>127590</xdr:rowOff>
    </xdr:from>
    <xdr:to>
      <xdr:col>1</xdr:col>
      <xdr:colOff>1837764</xdr:colOff>
      <xdr:row>2</xdr:row>
      <xdr:rowOff>1635170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20DDE88-D8A3-49CF-BDCC-A8867ECED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0762" y="641940"/>
          <a:ext cx="1284352" cy="1507580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347382</xdr:colOff>
      <xdr:row>5</xdr:row>
      <xdr:rowOff>123266</xdr:rowOff>
    </xdr:from>
    <xdr:to>
      <xdr:col>1</xdr:col>
      <xdr:colOff>2465294</xdr:colOff>
      <xdr:row>5</xdr:row>
      <xdr:rowOff>1624149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94042BD-A711-446C-8540-F42CBA99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732" y="5952566"/>
          <a:ext cx="2117912" cy="1500883"/>
        </a:xfrm>
        <a:prstGeom prst="rect">
          <a:avLst/>
        </a:prstGeom>
      </xdr:spPr>
    </xdr:pic>
    <xdr:clientData/>
  </xdr:twoCellAnchor>
  <xdr:twoCellAnchor editAs="oneCell">
    <xdr:from>
      <xdr:col>1</xdr:col>
      <xdr:colOff>280148</xdr:colOff>
      <xdr:row>6</xdr:row>
      <xdr:rowOff>112058</xdr:rowOff>
    </xdr:from>
    <xdr:to>
      <xdr:col>1</xdr:col>
      <xdr:colOff>2465294</xdr:colOff>
      <xdr:row>6</xdr:row>
      <xdr:rowOff>1637260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2FF45A5-6F0A-47BB-9F48-22AD541E4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498" y="7713008"/>
          <a:ext cx="2185146" cy="1525202"/>
        </a:xfrm>
        <a:prstGeom prst="rect">
          <a:avLst/>
        </a:prstGeom>
      </xdr:spPr>
    </xdr:pic>
    <xdr:clientData/>
  </xdr:twoCellAnchor>
  <xdr:twoCellAnchor editAs="oneCell">
    <xdr:from>
      <xdr:col>1</xdr:col>
      <xdr:colOff>212913</xdr:colOff>
      <xdr:row>10</xdr:row>
      <xdr:rowOff>179294</xdr:rowOff>
    </xdr:from>
    <xdr:to>
      <xdr:col>1</xdr:col>
      <xdr:colOff>2386853</xdr:colOff>
      <xdr:row>10</xdr:row>
      <xdr:rowOff>1603346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925BB11-49B2-418F-A96C-B118DBB98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263" y="15724094"/>
          <a:ext cx="2173940" cy="1424052"/>
        </a:xfrm>
        <a:prstGeom prst="rect">
          <a:avLst/>
        </a:prstGeom>
      </xdr:spPr>
    </xdr:pic>
    <xdr:clientData/>
  </xdr:twoCellAnchor>
  <xdr:twoCellAnchor editAs="oneCell">
    <xdr:from>
      <xdr:col>1</xdr:col>
      <xdr:colOff>194824</xdr:colOff>
      <xdr:row>9</xdr:row>
      <xdr:rowOff>273264</xdr:rowOff>
    </xdr:from>
    <xdr:to>
      <xdr:col>1</xdr:col>
      <xdr:colOff>2275250</xdr:colOff>
      <xdr:row>9</xdr:row>
      <xdr:rowOff>1636059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F8EF913-544B-42BA-B310-CD3CCFEE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174" y="14046414"/>
          <a:ext cx="2080426" cy="136279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11</xdr:row>
      <xdr:rowOff>246531</xdr:rowOff>
    </xdr:from>
    <xdr:to>
      <xdr:col>1</xdr:col>
      <xdr:colOff>2398058</xdr:colOff>
      <xdr:row>11</xdr:row>
      <xdr:rowOff>1631397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24B33F4-F8E1-49A8-87ED-8F346447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49" y="17562981"/>
          <a:ext cx="2207559" cy="1384866"/>
        </a:xfrm>
        <a:prstGeom prst="rect">
          <a:avLst/>
        </a:prstGeom>
      </xdr:spPr>
    </xdr:pic>
    <xdr:clientData/>
  </xdr:twoCellAnchor>
  <xdr:twoCellAnchor editAs="oneCell">
    <xdr:from>
      <xdr:col>1</xdr:col>
      <xdr:colOff>329295</xdr:colOff>
      <xdr:row>12</xdr:row>
      <xdr:rowOff>262058</xdr:rowOff>
    </xdr:from>
    <xdr:to>
      <xdr:col>1</xdr:col>
      <xdr:colOff>2442882</xdr:colOff>
      <xdr:row>12</xdr:row>
      <xdr:rowOff>1587973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BA00437-12B9-4E6A-A068-15E5B334E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6645" y="19350158"/>
          <a:ext cx="2113587" cy="1325915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313765</xdr:colOff>
      <xdr:row>13</xdr:row>
      <xdr:rowOff>156884</xdr:rowOff>
    </xdr:from>
    <xdr:to>
      <xdr:col>1</xdr:col>
      <xdr:colOff>2342029</xdr:colOff>
      <xdr:row>13</xdr:row>
      <xdr:rowOff>1634539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6D2BB6FF-602E-4A99-A41A-48F91980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115" y="21016634"/>
          <a:ext cx="2028264" cy="14776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306882</xdr:colOff>
      <xdr:row>14</xdr:row>
      <xdr:rowOff>183620</xdr:rowOff>
    </xdr:from>
    <xdr:to>
      <xdr:col>1</xdr:col>
      <xdr:colOff>2420470</xdr:colOff>
      <xdr:row>14</xdr:row>
      <xdr:rowOff>1723436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E8B2110-4D7E-4D25-958B-B5C6E95E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232" y="22948370"/>
          <a:ext cx="2113588" cy="1539816"/>
        </a:xfrm>
        <a:prstGeom prst="rect">
          <a:avLst/>
        </a:prstGeom>
      </xdr:spPr>
    </xdr:pic>
    <xdr:clientData/>
  </xdr:twoCellAnchor>
  <xdr:twoCellAnchor editAs="oneCell">
    <xdr:from>
      <xdr:col>6</xdr:col>
      <xdr:colOff>291353</xdr:colOff>
      <xdr:row>8</xdr:row>
      <xdr:rowOff>134471</xdr:rowOff>
    </xdr:from>
    <xdr:to>
      <xdr:col>8</xdr:col>
      <xdr:colOff>677393</xdr:colOff>
      <xdr:row>8</xdr:row>
      <xdr:rowOff>1658301</xdr:rowOff>
    </xdr:to>
    <xdr:pic>
      <xdr:nvPicPr>
        <xdr:cNvPr id="24" name="Рисунок 23" descr="Кровать двухъярусная жел-гол.jpg">
          <a:extLst>
            <a:ext uri="{FF2B5EF4-FFF2-40B4-BE49-F238E27FC236}">
              <a16:creationId xmlns:a16="http://schemas.microsoft.com/office/drawing/2014/main" id="{46AAF4C7-F71F-4A17-AF57-A5C4647A1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7153" y="12135971"/>
          <a:ext cx="1451160" cy="1523830"/>
        </a:xfrm>
        <a:prstGeom prst="rect">
          <a:avLst/>
        </a:prstGeom>
      </xdr:spPr>
    </xdr:pic>
    <xdr:clientData/>
  </xdr:twoCellAnchor>
  <xdr:twoCellAnchor editAs="oneCell">
    <xdr:from>
      <xdr:col>6</xdr:col>
      <xdr:colOff>280147</xdr:colOff>
      <xdr:row>12</xdr:row>
      <xdr:rowOff>291353</xdr:rowOff>
    </xdr:from>
    <xdr:to>
      <xdr:col>9</xdr:col>
      <xdr:colOff>279810</xdr:colOff>
      <xdr:row>12</xdr:row>
      <xdr:rowOff>1445783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D51C5FF-756D-49FD-9CD2-805AB96C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5947" y="19379453"/>
          <a:ext cx="1841351" cy="1154430"/>
        </a:xfrm>
        <a:prstGeom prst="rect">
          <a:avLst/>
        </a:prstGeom>
      </xdr:spPr>
    </xdr:pic>
    <xdr:clientData/>
  </xdr:twoCellAnchor>
  <xdr:twoCellAnchor editAs="oneCell">
    <xdr:from>
      <xdr:col>1</xdr:col>
      <xdr:colOff>661146</xdr:colOff>
      <xdr:row>15</xdr:row>
      <xdr:rowOff>134470</xdr:rowOff>
    </xdr:from>
    <xdr:to>
      <xdr:col>1</xdr:col>
      <xdr:colOff>1871382</xdr:colOff>
      <xdr:row>15</xdr:row>
      <xdr:rowOff>1748118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74DE3EEB-4A32-4143-946A-F5EF2C842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18496" y="24804220"/>
          <a:ext cx="1210236" cy="1613648"/>
        </a:xfrm>
        <a:prstGeom prst="rect">
          <a:avLst/>
        </a:prstGeom>
      </xdr:spPr>
    </xdr:pic>
    <xdr:clientData/>
  </xdr:twoCellAnchor>
  <xdr:twoCellAnchor editAs="oneCell">
    <xdr:from>
      <xdr:col>1</xdr:col>
      <xdr:colOff>750792</xdr:colOff>
      <xdr:row>16</xdr:row>
      <xdr:rowOff>44822</xdr:rowOff>
    </xdr:from>
    <xdr:to>
      <xdr:col>1</xdr:col>
      <xdr:colOff>1792939</xdr:colOff>
      <xdr:row>16</xdr:row>
      <xdr:rowOff>1751977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2E217FF1-0E14-47FE-912B-C32651908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08142" y="26619572"/>
          <a:ext cx="1042147" cy="1707155"/>
        </a:xfrm>
        <a:prstGeom prst="rect">
          <a:avLst/>
        </a:prstGeom>
      </xdr:spPr>
    </xdr:pic>
    <xdr:clientData/>
  </xdr:twoCellAnchor>
  <xdr:twoCellAnchor editAs="oneCell">
    <xdr:from>
      <xdr:col>8</xdr:col>
      <xdr:colOff>704850</xdr:colOff>
      <xdr:row>0</xdr:row>
      <xdr:rowOff>104775</xdr:rowOff>
    </xdr:from>
    <xdr:to>
      <xdr:col>9</xdr:col>
      <xdr:colOff>463571</xdr:colOff>
      <xdr:row>2</xdr:row>
      <xdr:rowOff>266304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3531EAA-8A2D-43D9-8DAA-677D2F768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258" r="1884"/>
        <a:stretch/>
      </xdr:blipFill>
      <xdr:spPr>
        <a:xfrm rot="20918134">
          <a:off x="9820275" y="104775"/>
          <a:ext cx="539771" cy="5996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22412</xdr:colOff>
      <xdr:row>32</xdr:row>
      <xdr:rowOff>338977</xdr:rowOff>
    </xdr:from>
    <xdr:to>
      <xdr:col>9</xdr:col>
      <xdr:colOff>128868</xdr:colOff>
      <xdr:row>32</xdr:row>
      <xdr:rowOff>1339102</xdr:rowOff>
    </xdr:to>
    <xdr:pic>
      <xdr:nvPicPr>
        <xdr:cNvPr id="2" name="Picture 10" descr="&amp;Scy;&amp;tcy;&amp;iecy;&amp;ncy;&amp;kcy;&amp;acy; «&amp;Acy;&amp;ncy;&amp;tcy;&amp;ocy;&amp;shcy;&amp;kcy;&amp;acy;» &amp;rcy;&amp;iecy;&amp;kcy;&amp;ocy;&amp;mcy;&amp;iecy;&amp;ncy;&amp;dcy;&amp;ucy;&amp;iecy;&amp;mcy;&amp;ycy;&amp;jcy; &amp;ncy;&amp;acy;&amp;bcy;&amp;ocy;&amp;rcy; &amp;numero;1">
          <a:extLst>
            <a:ext uri="{FF2B5EF4-FFF2-40B4-BE49-F238E27FC236}">
              <a16:creationId xmlns:a16="http://schemas.microsoft.com/office/drawing/2014/main" id="{0FB8747D-3A9F-4539-B832-F739E211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61612" y="55079152"/>
          <a:ext cx="1434353" cy="10001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7</xdr:col>
      <xdr:colOff>11207</xdr:colOff>
      <xdr:row>33</xdr:row>
      <xdr:rowOff>292474</xdr:rowOff>
    </xdr:from>
    <xdr:to>
      <xdr:col>9</xdr:col>
      <xdr:colOff>117103</xdr:colOff>
      <xdr:row>33</xdr:row>
      <xdr:rowOff>1292599</xdr:rowOff>
    </xdr:to>
    <xdr:pic>
      <xdr:nvPicPr>
        <xdr:cNvPr id="3" name="Picture 11" descr="&amp;Scy;&amp;tcy;&amp;iecy;&amp;ncy;&amp;kcy;&amp;acy; «&amp;Acy;&amp;ncy;&amp;tcy;&amp;ocy;&amp;shcy;&amp;kcy;&amp;acy;» &amp;rcy;&amp;iecy;&amp;kcy;&amp;ocy;&amp;mcy;&amp;iecy;&amp;ncy;&amp;dcy;&amp;ucy;&amp;iecy;&amp;mcy;&amp;ycy;&amp;jcy; &amp;ncy;&amp;acy;&amp;bcy;&amp;ocy;&amp;rcy; &amp;numero;2">
          <a:extLst>
            <a:ext uri="{FF2B5EF4-FFF2-40B4-BE49-F238E27FC236}">
              <a16:creationId xmlns:a16="http://schemas.microsoft.com/office/drawing/2014/main" id="{F8F536B4-02D9-4AF5-AAA6-5B50B231D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50407" y="56670949"/>
          <a:ext cx="1433793" cy="10001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7</xdr:col>
      <xdr:colOff>33618</xdr:colOff>
      <xdr:row>35</xdr:row>
      <xdr:rowOff>310403</xdr:rowOff>
    </xdr:from>
    <xdr:to>
      <xdr:col>9</xdr:col>
      <xdr:colOff>140074</xdr:colOff>
      <xdr:row>35</xdr:row>
      <xdr:rowOff>1310528</xdr:rowOff>
    </xdr:to>
    <xdr:pic>
      <xdr:nvPicPr>
        <xdr:cNvPr id="4" name="Picture 13" descr="&amp;Scy;&amp;tcy;&amp;iecy;&amp;ncy;&amp;kcy;&amp;acy; «&amp;Acy;&amp;ncy;&amp;tcy;&amp;ocy;&amp;shcy;&amp;kcy;&amp;acy;» &amp;rcy;&amp;iecy;&amp;kcy;&amp;ocy;&amp;mcy;&amp;iecy;&amp;ncy;&amp;dcy;&amp;ucy;&amp;iecy;&amp;mcy;&amp;ycy;&amp;jcy; &amp;ncy;&amp;acy;&amp;bcy;&amp;ocy;&amp;rcy; &amp;numero;4">
          <a:extLst>
            <a:ext uri="{FF2B5EF4-FFF2-40B4-BE49-F238E27FC236}">
              <a16:creationId xmlns:a16="http://schemas.microsoft.com/office/drawing/2014/main" id="{BE0255EE-8C81-4E71-8E98-8440D577B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72818" y="59965478"/>
          <a:ext cx="1434353" cy="10001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76200</xdr:colOff>
      <xdr:row>32</xdr:row>
      <xdr:rowOff>62345</xdr:rowOff>
    </xdr:from>
    <xdr:to>
      <xdr:col>1</xdr:col>
      <xdr:colOff>2149614</xdr:colOff>
      <xdr:row>32</xdr:row>
      <xdr:rowOff>1557716</xdr:rowOff>
    </xdr:to>
    <xdr:pic>
      <xdr:nvPicPr>
        <xdr:cNvPr id="5" name="Picture 45" descr="&amp;Scy;&amp;iecy;&amp;kcy;&amp;tscy;&amp;icy;&amp;yacy; 1-&amp;yacy;&amp;rcy;&amp;ucy;&amp;scy;&amp;ncy;&amp;acy;&amp;yacy; &amp;pcy;&amp;rcy;&amp;icy;&amp;scy;&amp;tcy;&amp;acy;&amp;vcy;&amp;ncy;&amp;acy;&amp;yacy; &amp;scy;&amp;tcy;&amp;iecy;&amp;ncy;&amp;kcy;&amp;icy; «&amp;Acy;&amp;ncy;&amp;tcy;&amp;ocy;&amp;shcy;&amp;kcy;&amp;acy;»">
          <a:extLst>
            <a:ext uri="{FF2B5EF4-FFF2-40B4-BE49-F238E27FC236}">
              <a16:creationId xmlns:a16="http://schemas.microsoft.com/office/drawing/2014/main" id="{10F61DF7-5B69-480D-A07F-DEE74BD26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54802520"/>
          <a:ext cx="2073414" cy="1495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299605</xdr:colOff>
      <xdr:row>33</xdr:row>
      <xdr:rowOff>20879</xdr:rowOff>
    </xdr:from>
    <xdr:to>
      <xdr:col>1</xdr:col>
      <xdr:colOff>2154382</xdr:colOff>
      <xdr:row>33</xdr:row>
      <xdr:rowOff>1406237</xdr:rowOff>
    </xdr:to>
    <xdr:pic>
      <xdr:nvPicPr>
        <xdr:cNvPr id="6" name="Picture 46" descr="&amp;Scy;&amp;iecy;&amp;kcy;&amp;tscy;&amp;icy;&amp;yacy; 2-&amp;yacy;&amp;rcy;&amp;ucy;&amp;scy;&amp;ncy;&amp;acy;&amp;yacy; &amp;scy; &amp;vcy;&amp;ycy;&amp;kcy;&amp;acy;&amp;tcy;&amp;ncy;&amp;ycy;&amp;mcy; &amp;yacy;&amp;shchcy;&amp;icy;&amp;kcy;&amp;ocy;&amp;mcy; &amp;scy;&amp;tcy;&amp;iecy;&amp;ncy;&amp;kcy;&amp;icy; «&amp;Acy;&amp;ncy;&amp;tcy;&amp;ocy;&amp;shcy;&amp;kcy;&amp;acy;»">
          <a:extLst>
            <a:ext uri="{FF2B5EF4-FFF2-40B4-BE49-F238E27FC236}">
              <a16:creationId xmlns:a16="http://schemas.microsoft.com/office/drawing/2014/main" id="{B9A18CDB-E70D-4264-A575-7FDDF836B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0330" y="56399354"/>
          <a:ext cx="1854777" cy="1385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381867</xdr:colOff>
      <xdr:row>34</xdr:row>
      <xdr:rowOff>69562</xdr:rowOff>
    </xdr:from>
    <xdr:to>
      <xdr:col>1</xdr:col>
      <xdr:colOff>2217593</xdr:colOff>
      <xdr:row>34</xdr:row>
      <xdr:rowOff>1599335</xdr:rowOff>
    </xdr:to>
    <xdr:pic>
      <xdr:nvPicPr>
        <xdr:cNvPr id="7" name="Picture 47" descr="&amp;Scy;&amp;iecy;&amp;kcy;&amp;tscy;&amp;icy;&amp;yacy; 3-&amp;yacy;&amp;rcy;&amp;ucy;&amp;scy;&amp;ncy;&amp;acy;&amp;yacy; &amp;scy; &amp;vcy;&amp;ycy;&amp;kcy;&amp;acy;&amp;tcy;&amp;ncy;&amp;ycy;&amp;mcy; &amp;yacy;&amp;shchcy;&amp;icy;&amp;kcy;&amp;ocy;&amp;mcy; &amp;scy;&amp;tcy;&amp;iecy;&amp;ncy;&amp;kcy;&amp;icy; «&amp;Acy;&amp;ncy;&amp;tcy;&amp;ocy;&amp;shcy;&amp;kcy;&amp;acy;»">
          <a:extLst>
            <a:ext uri="{FF2B5EF4-FFF2-40B4-BE49-F238E27FC236}">
              <a16:creationId xmlns:a16="http://schemas.microsoft.com/office/drawing/2014/main" id="{5B208F91-4427-4D2A-AF31-0C5E74512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2592" y="58086337"/>
          <a:ext cx="1835726" cy="1529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515216</xdr:colOff>
      <xdr:row>35</xdr:row>
      <xdr:rowOff>101312</xdr:rowOff>
    </xdr:from>
    <xdr:to>
      <xdr:col>1</xdr:col>
      <xdr:colOff>2077316</xdr:colOff>
      <xdr:row>35</xdr:row>
      <xdr:rowOff>1196687</xdr:rowOff>
    </xdr:to>
    <xdr:pic>
      <xdr:nvPicPr>
        <xdr:cNvPr id="8" name="Picture 48" descr="&amp;Scy;&amp;iecy;&amp;kcy;&amp;tscy;&amp;icy;&amp;yacy; 4-&amp;yacy;&amp;rcy;&amp;ucy;&amp;scy;&amp;ncy;&amp;acy;&amp;yacy; &amp;scy; &amp;vcy;&amp;ycy;&amp;kcy;&amp;acy;&amp;tcy;&amp;ncy;&amp;ycy;&amp;mcy; &amp;yacy;&amp;shchcy;&amp;icy;&amp;kcy;&amp;ocy;&amp;mcy; &amp;scy;&amp;tcy;&amp;iecy;&amp;ncy;&amp;kcy;&amp;icy; «&amp;Acy;&amp;ncy;&amp;tcy;&amp;ocy;&amp;shcy;&amp;kcy;&amp;acy;»">
          <a:extLst>
            <a:ext uri="{FF2B5EF4-FFF2-40B4-BE49-F238E27FC236}">
              <a16:creationId xmlns:a16="http://schemas.microsoft.com/office/drawing/2014/main" id="{1820DEFD-8BFA-4EFE-AEE8-B7BC2FE0D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5941" y="59756387"/>
          <a:ext cx="15621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480579</xdr:colOff>
      <xdr:row>36</xdr:row>
      <xdr:rowOff>116898</xdr:rowOff>
    </xdr:from>
    <xdr:to>
      <xdr:col>1</xdr:col>
      <xdr:colOff>2023629</xdr:colOff>
      <xdr:row>36</xdr:row>
      <xdr:rowOff>1231323</xdr:rowOff>
    </xdr:to>
    <xdr:pic>
      <xdr:nvPicPr>
        <xdr:cNvPr id="9" name="Picture 80" descr="&amp;Ucy;&amp;gcy;&amp;ocy;&amp;lcy;&amp;ocy;&amp;kcy; &amp;zhcy;&amp;icy;&amp;vcy;&amp;ocy;&amp;jcy; &amp;pcy;&amp;rcy;&amp;icy;&amp;rcy;&amp;ocy;&amp;dcy;&amp;ycy;">
          <a:extLst>
            <a:ext uri="{FF2B5EF4-FFF2-40B4-BE49-F238E27FC236}">
              <a16:creationId xmlns:a16="http://schemas.microsoft.com/office/drawing/2014/main" id="{0B601F23-0B6A-4EE4-A37D-3A31D4DC8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1304" y="61410273"/>
          <a:ext cx="15430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467591</xdr:colOff>
      <xdr:row>37</xdr:row>
      <xdr:rowOff>112568</xdr:rowOff>
    </xdr:from>
    <xdr:to>
      <xdr:col>1</xdr:col>
      <xdr:colOff>1991591</xdr:colOff>
      <xdr:row>37</xdr:row>
      <xdr:rowOff>1108363</xdr:rowOff>
    </xdr:to>
    <xdr:pic>
      <xdr:nvPicPr>
        <xdr:cNvPr id="10" name="Picture 81" descr="&amp;Scy;&amp;tcy;&amp;iecy;&amp;lcy;&amp;lcy;&amp;acy;&amp;zhcy; 2-&amp;scy;&amp;tcy;&amp;ocy;&amp;rcy;&amp;ocy;&amp;ncy;&amp;ncy;&amp;icy;&amp;jcy; &amp;icy;&amp;gcy;&amp;rcy;&amp;ocy;&amp;vcy;&amp;ocy;&amp;jcy;">
          <a:extLst>
            <a:ext uri="{FF2B5EF4-FFF2-40B4-BE49-F238E27FC236}">
              <a16:creationId xmlns:a16="http://schemas.microsoft.com/office/drawing/2014/main" id="{3CE3CAF4-552F-4A90-8EC3-E6A08DB2E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8316" y="63044243"/>
          <a:ext cx="1524000" cy="99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110435</xdr:colOff>
      <xdr:row>30</xdr:row>
      <xdr:rowOff>248478</xdr:rowOff>
    </xdr:from>
    <xdr:to>
      <xdr:col>1</xdr:col>
      <xdr:colOff>2043043</xdr:colOff>
      <xdr:row>30</xdr:row>
      <xdr:rowOff>1601304</xdr:rowOff>
    </xdr:to>
    <xdr:pic>
      <xdr:nvPicPr>
        <xdr:cNvPr id="11" name="Рисунок 10" descr="Стеллаж для игрушек «Игротека»">
          <a:extLst>
            <a:ext uri="{FF2B5EF4-FFF2-40B4-BE49-F238E27FC236}">
              <a16:creationId xmlns:a16="http://schemas.microsoft.com/office/drawing/2014/main" id="{6EAD255B-86F9-4F9E-BEB6-22DCB1CCE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1160" y="51121503"/>
          <a:ext cx="1932608" cy="135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537883</xdr:colOff>
      <xdr:row>27</xdr:row>
      <xdr:rowOff>38012</xdr:rowOff>
    </xdr:from>
    <xdr:to>
      <xdr:col>1</xdr:col>
      <xdr:colOff>2274794</xdr:colOff>
      <xdr:row>27</xdr:row>
      <xdr:rowOff>1752597</xdr:rowOff>
    </xdr:to>
    <xdr:pic>
      <xdr:nvPicPr>
        <xdr:cNvPr id="12" name="Рисунок 11" descr="уголокспортинвенторя.jpg">
          <a:extLst>
            <a:ext uri="{FF2B5EF4-FFF2-40B4-BE49-F238E27FC236}">
              <a16:creationId xmlns:a16="http://schemas.microsoft.com/office/drawing/2014/main" id="{B01536AF-B9A2-4A6B-A0AF-80D89DF45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8608" y="45253187"/>
          <a:ext cx="1736911" cy="1714585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369794</xdr:colOff>
      <xdr:row>20</xdr:row>
      <xdr:rowOff>52083</xdr:rowOff>
    </xdr:from>
    <xdr:to>
      <xdr:col>1</xdr:col>
      <xdr:colOff>2252381</xdr:colOff>
      <xdr:row>20</xdr:row>
      <xdr:rowOff>1698810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031815C-3FA1-426E-B3ED-A19CC235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519" y="32799033"/>
          <a:ext cx="1882587" cy="1646727"/>
        </a:xfrm>
        <a:prstGeom prst="rect">
          <a:avLst/>
        </a:prstGeom>
      </xdr:spPr>
    </xdr:pic>
    <xdr:clientData/>
  </xdr:twoCellAnchor>
  <xdr:twoCellAnchor editAs="oneCell">
    <xdr:from>
      <xdr:col>1</xdr:col>
      <xdr:colOff>582706</xdr:colOff>
      <xdr:row>21</xdr:row>
      <xdr:rowOff>55885</xdr:rowOff>
    </xdr:from>
    <xdr:to>
      <xdr:col>1</xdr:col>
      <xdr:colOff>2129117</xdr:colOff>
      <xdr:row>21</xdr:row>
      <xdr:rowOff>1728622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BDB3765-8F97-4630-A2C8-E08A76D60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3431" y="34584010"/>
          <a:ext cx="1546411" cy="1672737"/>
        </a:xfrm>
        <a:prstGeom prst="rect">
          <a:avLst/>
        </a:prstGeom>
      </xdr:spPr>
    </xdr:pic>
    <xdr:clientData/>
  </xdr:twoCellAnchor>
  <xdr:twoCellAnchor editAs="oneCell">
    <xdr:from>
      <xdr:col>1</xdr:col>
      <xdr:colOff>694766</xdr:colOff>
      <xdr:row>24</xdr:row>
      <xdr:rowOff>43930</xdr:rowOff>
    </xdr:from>
    <xdr:to>
      <xdr:col>1</xdr:col>
      <xdr:colOff>1994647</xdr:colOff>
      <xdr:row>24</xdr:row>
      <xdr:rowOff>1707777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6044C5A-7FE4-4D7F-8479-87468C935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5491" y="39915580"/>
          <a:ext cx="1299881" cy="1663847"/>
        </a:xfrm>
        <a:prstGeom prst="rect">
          <a:avLst/>
        </a:prstGeom>
      </xdr:spPr>
    </xdr:pic>
    <xdr:clientData/>
  </xdr:twoCellAnchor>
  <xdr:twoCellAnchor editAs="oneCell">
    <xdr:from>
      <xdr:col>1</xdr:col>
      <xdr:colOff>750795</xdr:colOff>
      <xdr:row>18</xdr:row>
      <xdr:rowOff>60641</xdr:rowOff>
    </xdr:from>
    <xdr:to>
      <xdr:col>1</xdr:col>
      <xdr:colOff>2196353</xdr:colOff>
      <xdr:row>18</xdr:row>
      <xdr:rowOff>1909483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94E8B4F-CF4D-48B0-B6E2-4067943B7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1520" y="28921391"/>
          <a:ext cx="1445558" cy="1848842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11</xdr:row>
      <xdr:rowOff>134471</xdr:rowOff>
    </xdr:from>
    <xdr:to>
      <xdr:col>1</xdr:col>
      <xdr:colOff>2721349</xdr:colOff>
      <xdr:row>11</xdr:row>
      <xdr:rowOff>1643549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3B5C048-6121-46EC-B55E-38736D07F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7608" y="16593671"/>
          <a:ext cx="2564466" cy="1509078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</xdr:row>
      <xdr:rowOff>134470</xdr:rowOff>
    </xdr:from>
    <xdr:to>
      <xdr:col>1</xdr:col>
      <xdr:colOff>2706531</xdr:colOff>
      <xdr:row>6</xdr:row>
      <xdr:rowOff>1602440</xdr:rowOff>
    </xdr:to>
    <xdr:pic>
      <xdr:nvPicPr>
        <xdr:cNvPr id="18" name="Рисунок 17" descr="лес полянка2.jpg">
          <a:extLst>
            <a:ext uri="{FF2B5EF4-FFF2-40B4-BE49-F238E27FC236}">
              <a16:creationId xmlns:a16="http://schemas.microsoft.com/office/drawing/2014/main" id="{C1DA6123-2589-4403-AD94-BB7C7C3E9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2784" y="7735420"/>
          <a:ext cx="2594472" cy="1467970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7</xdr:row>
      <xdr:rowOff>67235</xdr:rowOff>
    </xdr:from>
    <xdr:to>
      <xdr:col>1</xdr:col>
      <xdr:colOff>2569964</xdr:colOff>
      <xdr:row>7</xdr:row>
      <xdr:rowOff>1658470</xdr:rowOff>
    </xdr:to>
    <xdr:pic>
      <xdr:nvPicPr>
        <xdr:cNvPr id="19" name="Рисунок 18" descr="игрушки2.jpg">
          <a:extLst>
            <a:ext uri="{FF2B5EF4-FFF2-40B4-BE49-F238E27FC236}">
              <a16:creationId xmlns:a16="http://schemas.microsoft.com/office/drawing/2014/main" id="{0B396F99-E2D0-4DA7-81EB-0A952A3F8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147608" y="9439835"/>
          <a:ext cx="2413081" cy="159123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67236</xdr:colOff>
      <xdr:row>8</xdr:row>
      <xdr:rowOff>134471</xdr:rowOff>
    </xdr:from>
    <xdr:to>
      <xdr:col>1</xdr:col>
      <xdr:colOff>2697418</xdr:colOff>
      <xdr:row>8</xdr:row>
      <xdr:rowOff>1658471</xdr:rowOff>
    </xdr:to>
    <xdr:pic>
      <xdr:nvPicPr>
        <xdr:cNvPr id="20" name="Рисунок 19" descr="золушка2.jpg">
          <a:extLst>
            <a:ext uri="{FF2B5EF4-FFF2-40B4-BE49-F238E27FC236}">
              <a16:creationId xmlns:a16="http://schemas.microsoft.com/office/drawing/2014/main" id="{C6AD8F54-99BD-4328-97BF-A4C7AC133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961" y="11278721"/>
          <a:ext cx="2630182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9</xdr:row>
      <xdr:rowOff>123264</xdr:rowOff>
    </xdr:from>
    <xdr:to>
      <xdr:col>1</xdr:col>
      <xdr:colOff>2743758</xdr:colOff>
      <xdr:row>9</xdr:row>
      <xdr:rowOff>1586744</xdr:rowOff>
    </xdr:to>
    <xdr:pic>
      <xdr:nvPicPr>
        <xdr:cNvPr id="21" name="Рисунок 20" descr="корабль2.jpg">
          <a:extLst>
            <a:ext uri="{FF2B5EF4-FFF2-40B4-BE49-F238E27FC236}">
              <a16:creationId xmlns:a16="http://schemas.microsoft.com/office/drawing/2014/main" id="{C4FCC569-54B4-4E50-893F-9C417571D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2783" y="13039164"/>
          <a:ext cx="2631700" cy="1463480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10</xdr:row>
      <xdr:rowOff>201705</xdr:rowOff>
    </xdr:from>
    <xdr:to>
      <xdr:col>1</xdr:col>
      <xdr:colOff>2720998</xdr:colOff>
      <xdr:row>10</xdr:row>
      <xdr:rowOff>205627</xdr:rowOff>
    </xdr:to>
    <xdr:pic>
      <xdr:nvPicPr>
        <xdr:cNvPr id="22" name="Рисунок 21" descr="паравозик2.jpg">
          <a:extLst>
            <a:ext uri="{FF2B5EF4-FFF2-40B4-BE49-F238E27FC236}">
              <a16:creationId xmlns:a16="http://schemas.microsoft.com/office/drawing/2014/main" id="{35720C5D-CEE3-4244-9586-DB24491EC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069166" y="14889255"/>
          <a:ext cx="2642557" cy="392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</xdr:row>
      <xdr:rowOff>67235</xdr:rowOff>
    </xdr:from>
    <xdr:to>
      <xdr:col>1</xdr:col>
      <xdr:colOff>2667001</xdr:colOff>
      <xdr:row>12</xdr:row>
      <xdr:rowOff>1673381</xdr:rowOff>
    </xdr:to>
    <xdr:pic>
      <xdr:nvPicPr>
        <xdr:cNvPr id="23" name="Рисунок 22" descr="Море рыбки2.jpg">
          <a:extLst>
            <a:ext uri="{FF2B5EF4-FFF2-40B4-BE49-F238E27FC236}">
              <a16:creationId xmlns:a16="http://schemas.microsoft.com/office/drawing/2014/main" id="{92419BB5-9E01-4224-8609-8159E5F0F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2784" y="18298085"/>
          <a:ext cx="2554942" cy="160614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19</xdr:row>
      <xdr:rowOff>89647</xdr:rowOff>
    </xdr:from>
    <xdr:to>
      <xdr:col>1</xdr:col>
      <xdr:colOff>1815352</xdr:colOff>
      <xdr:row>19</xdr:row>
      <xdr:rowOff>1872680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DDF65AA-E3BA-465D-AB58-274C601BE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62225" y="30893497"/>
          <a:ext cx="1243852" cy="1783033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10</xdr:row>
      <xdr:rowOff>179294</xdr:rowOff>
    </xdr:from>
    <xdr:to>
      <xdr:col>1</xdr:col>
      <xdr:colOff>2722680</xdr:colOff>
      <xdr:row>10</xdr:row>
      <xdr:rowOff>1423147</xdr:rowOff>
    </xdr:to>
    <xdr:pic>
      <xdr:nvPicPr>
        <xdr:cNvPr id="25" name="Рисунок 24" descr="паравозик2.jpg">
          <a:extLst>
            <a:ext uri="{FF2B5EF4-FFF2-40B4-BE49-F238E27FC236}">
              <a16:creationId xmlns:a16="http://schemas.microsoft.com/office/drawing/2014/main" id="{E6584D87-0871-432D-955F-F52BB5B05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9167" y="14866844"/>
          <a:ext cx="2644238" cy="1243853"/>
        </a:xfrm>
        <a:prstGeom prst="rect">
          <a:avLst/>
        </a:prstGeom>
      </xdr:spPr>
    </xdr:pic>
    <xdr:clientData/>
  </xdr:twoCellAnchor>
  <xdr:twoCellAnchor editAs="oneCell">
    <xdr:from>
      <xdr:col>1</xdr:col>
      <xdr:colOff>683559</xdr:colOff>
      <xdr:row>28</xdr:row>
      <xdr:rowOff>156882</xdr:rowOff>
    </xdr:from>
    <xdr:to>
      <xdr:col>1</xdr:col>
      <xdr:colOff>1892428</xdr:colOff>
      <xdr:row>28</xdr:row>
      <xdr:rowOff>1815353</xdr:rowOff>
    </xdr:to>
    <xdr:pic>
      <xdr:nvPicPr>
        <xdr:cNvPr id="26" name="Рисунок 25" descr="мельница.jpg">
          <a:extLst>
            <a:ext uri="{FF2B5EF4-FFF2-40B4-BE49-F238E27FC236}">
              <a16:creationId xmlns:a16="http://schemas.microsoft.com/office/drawing/2014/main" id="{B6E303F4-CCE1-4931-B538-9DAD5D147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284" y="47153232"/>
          <a:ext cx="1208869" cy="1658471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593910</xdr:colOff>
      <xdr:row>25</xdr:row>
      <xdr:rowOff>123267</xdr:rowOff>
    </xdr:from>
    <xdr:to>
      <xdr:col>1</xdr:col>
      <xdr:colOff>1815351</xdr:colOff>
      <xdr:row>25</xdr:row>
      <xdr:rowOff>1684104</xdr:rowOff>
    </xdr:to>
    <xdr:pic>
      <xdr:nvPicPr>
        <xdr:cNvPr id="27" name="Рисунок 26" descr="42071 Библиотечный стеллаж Круг 1300х500х1704.jpg">
          <a:extLst>
            <a:ext uri="{FF2B5EF4-FFF2-40B4-BE49-F238E27FC236}">
              <a16:creationId xmlns:a16="http://schemas.microsoft.com/office/drawing/2014/main" id="{E7D4EC25-317E-4636-AB73-E28EC22F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4635" y="41776092"/>
          <a:ext cx="1221441" cy="1560837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235324</xdr:colOff>
      <xdr:row>26</xdr:row>
      <xdr:rowOff>156883</xdr:rowOff>
    </xdr:from>
    <xdr:to>
      <xdr:col>1</xdr:col>
      <xdr:colOff>2151529</xdr:colOff>
      <xdr:row>26</xdr:row>
      <xdr:rowOff>1655821</xdr:rowOff>
    </xdr:to>
    <xdr:pic>
      <xdr:nvPicPr>
        <xdr:cNvPr id="28" name="Рисунок 27" descr="45285 Библиотечная стенка Круг 2364х500х1704.jpg">
          <a:extLst>
            <a:ext uri="{FF2B5EF4-FFF2-40B4-BE49-F238E27FC236}">
              <a16:creationId xmlns:a16="http://schemas.microsoft.com/office/drawing/2014/main" id="{5BD4C9AE-4551-4686-BE61-4001DEA90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049" y="43590883"/>
          <a:ext cx="1916205" cy="1498938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302559</xdr:colOff>
      <xdr:row>2</xdr:row>
      <xdr:rowOff>201707</xdr:rowOff>
    </xdr:from>
    <xdr:to>
      <xdr:col>1</xdr:col>
      <xdr:colOff>2495690</xdr:colOff>
      <xdr:row>2</xdr:row>
      <xdr:rowOff>1571878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16B53583-2872-4506-BA77-454DBDD1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284" y="716057"/>
          <a:ext cx="2193131" cy="1370171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3</xdr:row>
      <xdr:rowOff>212912</xdr:rowOff>
    </xdr:from>
    <xdr:to>
      <xdr:col>1</xdr:col>
      <xdr:colOff>2570491</xdr:colOff>
      <xdr:row>3</xdr:row>
      <xdr:rowOff>1443066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D7DE2A4-F01E-48EC-9B92-82966FAE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5197" y="2498912"/>
          <a:ext cx="2436019" cy="1230154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369795</xdr:colOff>
      <xdr:row>4</xdr:row>
      <xdr:rowOff>145676</xdr:rowOff>
    </xdr:from>
    <xdr:to>
      <xdr:col>1</xdr:col>
      <xdr:colOff>2367188</xdr:colOff>
      <xdr:row>4</xdr:row>
      <xdr:rowOff>1501560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3F8D1BCC-9C04-4912-AD1C-5E271D88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520" y="4203326"/>
          <a:ext cx="1997393" cy="1355884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336176</xdr:colOff>
      <xdr:row>5</xdr:row>
      <xdr:rowOff>123264</xdr:rowOff>
    </xdr:from>
    <xdr:to>
      <xdr:col>1</xdr:col>
      <xdr:colOff>2218764</xdr:colOff>
      <xdr:row>5</xdr:row>
      <xdr:rowOff>1674581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7193F2F-0607-4BFC-B799-118457834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901" y="5952564"/>
          <a:ext cx="1882588" cy="1551317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369794</xdr:colOff>
      <xdr:row>14</xdr:row>
      <xdr:rowOff>123264</xdr:rowOff>
    </xdr:from>
    <xdr:to>
      <xdr:col>1</xdr:col>
      <xdr:colOff>2252381</xdr:colOff>
      <xdr:row>14</xdr:row>
      <xdr:rowOff>1658547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3DAE97F4-616E-429E-AD02-C0C7B5D2C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519" y="21897414"/>
          <a:ext cx="1882587" cy="1535283"/>
        </a:xfrm>
        <a:prstGeom prst="rect">
          <a:avLst/>
        </a:prstGeom>
      </xdr:spPr>
    </xdr:pic>
    <xdr:clientData/>
  </xdr:twoCellAnchor>
  <xdr:twoCellAnchor editAs="oneCell">
    <xdr:from>
      <xdr:col>1</xdr:col>
      <xdr:colOff>257736</xdr:colOff>
      <xdr:row>15</xdr:row>
      <xdr:rowOff>302559</xdr:rowOff>
    </xdr:from>
    <xdr:to>
      <xdr:col>1</xdr:col>
      <xdr:colOff>2383716</xdr:colOff>
      <xdr:row>15</xdr:row>
      <xdr:rowOff>1282682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7C19ED96-4EDA-4ADC-93C1-003402361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461" y="23848359"/>
          <a:ext cx="2125980" cy="980123"/>
        </a:xfrm>
        <a:prstGeom prst="rect">
          <a:avLst/>
        </a:prstGeom>
      </xdr:spPr>
    </xdr:pic>
    <xdr:clientData/>
  </xdr:twoCellAnchor>
  <xdr:twoCellAnchor editAs="oneCell">
    <xdr:from>
      <xdr:col>1</xdr:col>
      <xdr:colOff>605118</xdr:colOff>
      <xdr:row>16</xdr:row>
      <xdr:rowOff>67235</xdr:rowOff>
    </xdr:from>
    <xdr:to>
      <xdr:col>1</xdr:col>
      <xdr:colOff>2028264</xdr:colOff>
      <xdr:row>16</xdr:row>
      <xdr:rowOff>1726095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5B2FC71-9B40-4EEC-B3DC-3ED732B2B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843" y="25384685"/>
          <a:ext cx="1423146" cy="165886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560293</xdr:colOff>
      <xdr:row>29</xdr:row>
      <xdr:rowOff>67235</xdr:rowOff>
    </xdr:from>
    <xdr:to>
      <xdr:col>1</xdr:col>
      <xdr:colOff>1949822</xdr:colOff>
      <xdr:row>29</xdr:row>
      <xdr:rowOff>1726710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472FC282-7D33-407F-AD6F-74D5E7B6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1018" y="49159085"/>
          <a:ext cx="1389529" cy="165947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31</xdr:row>
      <xdr:rowOff>493059</xdr:rowOff>
    </xdr:from>
    <xdr:to>
      <xdr:col>1</xdr:col>
      <xdr:colOff>2602679</xdr:colOff>
      <xdr:row>31</xdr:row>
      <xdr:rowOff>1404602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304E7841-3FDA-42C7-B5E6-B858574C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8814" y="53147259"/>
          <a:ext cx="2434590" cy="91154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13</xdr:row>
      <xdr:rowOff>190500</xdr:rowOff>
    </xdr:from>
    <xdr:to>
      <xdr:col>1</xdr:col>
      <xdr:colOff>2603763</xdr:colOff>
      <xdr:row>13</xdr:row>
      <xdr:rowOff>1613648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A8C4CCF-4746-44A8-AF44-22F0F96EB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2783" y="20193000"/>
          <a:ext cx="2491705" cy="1423148"/>
        </a:xfrm>
        <a:prstGeom prst="rect">
          <a:avLst/>
        </a:prstGeom>
      </xdr:spPr>
    </xdr:pic>
    <xdr:clientData/>
  </xdr:twoCellAnchor>
  <xdr:twoCellAnchor editAs="oneCell">
    <xdr:from>
      <xdr:col>1</xdr:col>
      <xdr:colOff>168090</xdr:colOff>
      <xdr:row>17</xdr:row>
      <xdr:rowOff>89647</xdr:rowOff>
    </xdr:from>
    <xdr:to>
      <xdr:col>1</xdr:col>
      <xdr:colOff>2487706</xdr:colOff>
      <xdr:row>17</xdr:row>
      <xdr:rowOff>1691684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79647C00-087D-4CD2-AAA7-8A1F48C87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8815" y="27178747"/>
          <a:ext cx="2319616" cy="1602037"/>
        </a:xfrm>
        <a:prstGeom prst="rect">
          <a:avLst/>
        </a:prstGeom>
      </xdr:spPr>
    </xdr:pic>
    <xdr:clientData/>
  </xdr:twoCellAnchor>
  <xdr:twoCellAnchor editAs="oneCell">
    <xdr:from>
      <xdr:col>1</xdr:col>
      <xdr:colOff>627528</xdr:colOff>
      <xdr:row>22</xdr:row>
      <xdr:rowOff>33618</xdr:rowOff>
    </xdr:from>
    <xdr:to>
      <xdr:col>1</xdr:col>
      <xdr:colOff>1871381</xdr:colOff>
      <xdr:row>22</xdr:row>
      <xdr:rowOff>1716477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753C644-8D1B-4FA9-858A-948E369A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8253" y="36342918"/>
          <a:ext cx="1243853" cy="1682859"/>
        </a:xfrm>
        <a:prstGeom prst="rect">
          <a:avLst/>
        </a:prstGeom>
      </xdr:spPr>
    </xdr:pic>
    <xdr:clientData/>
  </xdr:twoCellAnchor>
  <xdr:twoCellAnchor editAs="oneCell">
    <xdr:from>
      <xdr:col>1</xdr:col>
      <xdr:colOff>508587</xdr:colOff>
      <xdr:row>23</xdr:row>
      <xdr:rowOff>49147</xdr:rowOff>
    </xdr:from>
    <xdr:to>
      <xdr:col>1</xdr:col>
      <xdr:colOff>1972234</xdr:colOff>
      <xdr:row>23</xdr:row>
      <xdr:rowOff>1721479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F2471449-1042-4B45-A219-A221C197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9312" y="38139622"/>
          <a:ext cx="1463647" cy="1672332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896472</xdr:colOff>
      <xdr:row>0</xdr:row>
      <xdr:rowOff>145676</xdr:rowOff>
    </xdr:from>
    <xdr:to>
      <xdr:col>10</xdr:col>
      <xdr:colOff>147567</xdr:colOff>
      <xdr:row>2</xdr:row>
      <xdr:rowOff>297120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7F4DDE6-D31C-4626-A09B-88BEFD1F3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258" r="1884"/>
        <a:stretch/>
      </xdr:blipFill>
      <xdr:spPr>
        <a:xfrm rot="20918134">
          <a:off x="10051678" y="145676"/>
          <a:ext cx="539771" cy="5996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124240</xdr:colOff>
      <xdr:row>19</xdr:row>
      <xdr:rowOff>207065</xdr:rowOff>
    </xdr:from>
    <xdr:to>
      <xdr:col>1</xdr:col>
      <xdr:colOff>2056848</xdr:colOff>
      <xdr:row>19</xdr:row>
      <xdr:rowOff>1559891</xdr:rowOff>
    </xdr:to>
    <xdr:pic>
      <xdr:nvPicPr>
        <xdr:cNvPr id="2" name="Рисунок 1" descr="Стеллаж игровой «Трюмо»">
          <a:extLst>
            <a:ext uri="{FF2B5EF4-FFF2-40B4-BE49-F238E27FC236}">
              <a16:creationId xmlns:a16="http://schemas.microsoft.com/office/drawing/2014/main" id="{3E097E3E-963A-4B9C-A0EC-FF2D588FF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6390" y="32830190"/>
          <a:ext cx="1932608" cy="135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303695</xdr:colOff>
      <xdr:row>23</xdr:row>
      <xdr:rowOff>262282</xdr:rowOff>
    </xdr:from>
    <xdr:to>
      <xdr:col>1</xdr:col>
      <xdr:colOff>2137702</xdr:colOff>
      <xdr:row>23</xdr:row>
      <xdr:rowOff>1546087</xdr:rowOff>
    </xdr:to>
    <xdr:pic>
      <xdr:nvPicPr>
        <xdr:cNvPr id="3" name="Рисунок 2" descr="Стеллаж-полка для игрушек и поделок настенный">
          <a:extLst>
            <a:ext uri="{FF2B5EF4-FFF2-40B4-BE49-F238E27FC236}">
              <a16:creationId xmlns:a16="http://schemas.microsoft.com/office/drawing/2014/main" id="{46EFCBA5-60E8-45F4-99B0-BE6ED0958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5845" y="40714957"/>
          <a:ext cx="1834007" cy="1283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358912</xdr:colOff>
      <xdr:row>26</xdr:row>
      <xdr:rowOff>193261</xdr:rowOff>
    </xdr:from>
    <xdr:to>
      <xdr:col>1</xdr:col>
      <xdr:colOff>2252081</xdr:colOff>
      <xdr:row>26</xdr:row>
      <xdr:rowOff>1518479</xdr:rowOff>
    </xdr:to>
    <xdr:pic>
      <xdr:nvPicPr>
        <xdr:cNvPr id="4" name="Рисунок 3" descr="Стол игровой «Центр воды и песка»">
          <a:extLst>
            <a:ext uri="{FF2B5EF4-FFF2-40B4-BE49-F238E27FC236}">
              <a16:creationId xmlns:a16="http://schemas.microsoft.com/office/drawing/2014/main" id="{A69D0F04-1B29-4E83-999F-ADBE11F9A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1062" y="45989461"/>
          <a:ext cx="1893169" cy="132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317499</xdr:colOff>
      <xdr:row>27</xdr:row>
      <xdr:rowOff>193261</xdr:rowOff>
    </xdr:from>
    <xdr:to>
      <xdr:col>1</xdr:col>
      <xdr:colOff>2401956</xdr:colOff>
      <xdr:row>27</xdr:row>
      <xdr:rowOff>1652381</xdr:rowOff>
    </xdr:to>
    <xdr:pic>
      <xdr:nvPicPr>
        <xdr:cNvPr id="5" name="Рисунок 4" descr="Стеллаж-витрина книжная с дверцей">
          <a:extLst>
            <a:ext uri="{FF2B5EF4-FFF2-40B4-BE49-F238E27FC236}">
              <a16:creationId xmlns:a16="http://schemas.microsoft.com/office/drawing/2014/main" id="{45EABF29-EE26-405F-BFC0-EC91A0CE2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9649" y="47770636"/>
          <a:ext cx="2084457" cy="145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345108</xdr:colOff>
      <xdr:row>28</xdr:row>
      <xdr:rowOff>207065</xdr:rowOff>
    </xdr:from>
    <xdr:to>
      <xdr:col>1</xdr:col>
      <xdr:colOff>2360543</xdr:colOff>
      <xdr:row>28</xdr:row>
      <xdr:rowOff>1617869</xdr:rowOff>
    </xdr:to>
    <xdr:pic>
      <xdr:nvPicPr>
        <xdr:cNvPr id="6" name="Рисунок 5" descr="Игровой модуль">
          <a:extLst>
            <a:ext uri="{FF2B5EF4-FFF2-40B4-BE49-F238E27FC236}">
              <a16:creationId xmlns:a16="http://schemas.microsoft.com/office/drawing/2014/main" id="{BE6A3419-8CB6-4659-90B6-C0581496F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7258" y="49565615"/>
          <a:ext cx="2015435" cy="1410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324054</xdr:colOff>
      <xdr:row>30</xdr:row>
      <xdr:rowOff>111726</xdr:rowOff>
    </xdr:from>
    <xdr:to>
      <xdr:col>1</xdr:col>
      <xdr:colOff>2476500</xdr:colOff>
      <xdr:row>30</xdr:row>
      <xdr:rowOff>1893793</xdr:rowOff>
    </xdr:to>
    <xdr:pic>
      <xdr:nvPicPr>
        <xdr:cNvPr id="7" name="Рисунок 6" descr="Уголок природы.jpg">
          <a:extLst>
            <a:ext uri="{FF2B5EF4-FFF2-40B4-BE49-F238E27FC236}">
              <a16:creationId xmlns:a16="http://schemas.microsoft.com/office/drawing/2014/main" id="{26C0490A-DD03-4AAA-87FE-19F0F3ED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204" y="53032626"/>
          <a:ext cx="2152446" cy="17820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34</xdr:row>
      <xdr:rowOff>212911</xdr:rowOff>
    </xdr:from>
    <xdr:to>
      <xdr:col>1</xdr:col>
      <xdr:colOff>2624166</xdr:colOff>
      <xdr:row>34</xdr:row>
      <xdr:rowOff>1568821</xdr:rowOff>
    </xdr:to>
    <xdr:pic>
      <xdr:nvPicPr>
        <xdr:cNvPr id="8" name="Рисунок 7" descr="дидактическийстол.jpg">
          <a:extLst>
            <a:ext uri="{FF2B5EF4-FFF2-40B4-BE49-F238E27FC236}">
              <a16:creationId xmlns:a16="http://schemas.microsoft.com/office/drawing/2014/main" id="{87C94B99-D318-4771-9CB0-4B8DBE0A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415" y="63049336"/>
          <a:ext cx="2500901" cy="1355910"/>
        </a:xfrm>
        <a:prstGeom prst="rect">
          <a:avLst/>
        </a:prstGeom>
      </xdr:spPr>
    </xdr:pic>
    <xdr:clientData/>
  </xdr:twoCellAnchor>
  <xdr:twoCellAnchor editAs="oneCell">
    <xdr:from>
      <xdr:col>1</xdr:col>
      <xdr:colOff>683559</xdr:colOff>
      <xdr:row>5</xdr:row>
      <xdr:rowOff>44823</xdr:rowOff>
    </xdr:from>
    <xdr:to>
      <xdr:col>1</xdr:col>
      <xdr:colOff>1901051</xdr:colOff>
      <xdr:row>5</xdr:row>
      <xdr:rowOff>1712258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2C79243-8684-4FF4-9703-0C319B474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709" y="5902698"/>
          <a:ext cx="1217492" cy="1667435"/>
        </a:xfrm>
        <a:prstGeom prst="rect">
          <a:avLst/>
        </a:prstGeom>
      </xdr:spPr>
    </xdr:pic>
    <xdr:clientData/>
  </xdr:twoCellAnchor>
  <xdr:twoCellAnchor editAs="oneCell">
    <xdr:from>
      <xdr:col>1</xdr:col>
      <xdr:colOff>649941</xdr:colOff>
      <xdr:row>11</xdr:row>
      <xdr:rowOff>87666</xdr:rowOff>
    </xdr:from>
    <xdr:to>
      <xdr:col>1</xdr:col>
      <xdr:colOff>1994647</xdr:colOff>
      <xdr:row>11</xdr:row>
      <xdr:rowOff>1758756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DA1FCB2-8105-49CD-A4B1-F44A5CEB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2091" y="17575566"/>
          <a:ext cx="1344706" cy="1671090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549088</xdr:colOff>
      <xdr:row>12</xdr:row>
      <xdr:rowOff>69501</xdr:rowOff>
    </xdr:from>
    <xdr:to>
      <xdr:col>1</xdr:col>
      <xdr:colOff>2050677</xdr:colOff>
      <xdr:row>12</xdr:row>
      <xdr:rowOff>1731023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A0AEC12-54C6-47BB-87CC-3D1CA660D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1238" y="19338576"/>
          <a:ext cx="1501589" cy="1661522"/>
        </a:xfrm>
        <a:prstGeom prst="rect">
          <a:avLst/>
        </a:prstGeom>
      </xdr:spPr>
    </xdr:pic>
    <xdr:clientData/>
  </xdr:twoCellAnchor>
  <xdr:twoCellAnchor editAs="oneCell">
    <xdr:from>
      <xdr:col>1</xdr:col>
      <xdr:colOff>918882</xdr:colOff>
      <xdr:row>33</xdr:row>
      <xdr:rowOff>47411</xdr:rowOff>
    </xdr:from>
    <xdr:to>
      <xdr:col>1</xdr:col>
      <xdr:colOff>1949823</xdr:colOff>
      <xdr:row>33</xdr:row>
      <xdr:rowOff>2077571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4E70F3D-FFFD-4C01-BADF-E5DFEBD44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1032" y="60769286"/>
          <a:ext cx="1030941" cy="2030160"/>
        </a:xfrm>
        <a:prstGeom prst="rect">
          <a:avLst/>
        </a:prstGeom>
      </xdr:spPr>
    </xdr:pic>
    <xdr:clientData/>
  </xdr:twoCellAnchor>
  <xdr:twoCellAnchor editAs="oneCell">
    <xdr:from>
      <xdr:col>1</xdr:col>
      <xdr:colOff>930087</xdr:colOff>
      <xdr:row>32</xdr:row>
      <xdr:rowOff>55580</xdr:rowOff>
    </xdr:from>
    <xdr:to>
      <xdr:col>1</xdr:col>
      <xdr:colOff>1860176</xdr:colOff>
      <xdr:row>32</xdr:row>
      <xdr:rowOff>2178422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6B39C50-93A6-4452-88DA-4DEF57117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2237" y="58548605"/>
          <a:ext cx="930089" cy="2122842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403412</xdr:colOff>
      <xdr:row>13</xdr:row>
      <xdr:rowOff>33618</xdr:rowOff>
    </xdr:from>
    <xdr:to>
      <xdr:col>1</xdr:col>
      <xdr:colOff>2315918</xdr:colOff>
      <xdr:row>13</xdr:row>
      <xdr:rowOff>1759324</xdr:rowOff>
    </xdr:to>
    <xdr:pic>
      <xdr:nvPicPr>
        <xdr:cNvPr id="14" name="Рисунок 13" descr="изо.jpg">
          <a:extLst>
            <a:ext uri="{FF2B5EF4-FFF2-40B4-BE49-F238E27FC236}">
              <a16:creationId xmlns:a16="http://schemas.microsoft.com/office/drawing/2014/main" id="{6C783DEE-7EDD-4897-B567-254B8184B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65562" y="21083868"/>
          <a:ext cx="1912506" cy="172570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36</xdr:row>
      <xdr:rowOff>221120</xdr:rowOff>
    </xdr:from>
    <xdr:to>
      <xdr:col>1</xdr:col>
      <xdr:colOff>2554941</xdr:colOff>
      <xdr:row>36</xdr:row>
      <xdr:rowOff>1502495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9278B3C-BA64-4325-B2CC-3F38C8FA7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4210" y="66619895"/>
          <a:ext cx="2442881" cy="1281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504216</xdr:colOff>
      <xdr:row>14</xdr:row>
      <xdr:rowOff>141941</xdr:rowOff>
    </xdr:from>
    <xdr:to>
      <xdr:col>1</xdr:col>
      <xdr:colOff>2457823</xdr:colOff>
      <xdr:row>14</xdr:row>
      <xdr:rowOff>1700880</xdr:rowOff>
    </xdr:to>
    <xdr:pic>
      <xdr:nvPicPr>
        <xdr:cNvPr id="16" name="Рисунок 15" descr="http://detstvo-ekat.ru/static/img/0000/0004/3352/43352624.afams3kgvf.W330.jpg?1">
          <a:extLst>
            <a:ext uri="{FF2B5EF4-FFF2-40B4-BE49-F238E27FC236}">
              <a16:creationId xmlns:a16="http://schemas.microsoft.com/office/drawing/2014/main" id="{81F938F5-28F9-43CB-AAAE-6907A77A3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366" y="22973366"/>
          <a:ext cx="1953607" cy="1558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168088</xdr:colOff>
      <xdr:row>9</xdr:row>
      <xdr:rowOff>78441</xdr:rowOff>
    </xdr:from>
    <xdr:to>
      <xdr:col>1</xdr:col>
      <xdr:colOff>2479996</xdr:colOff>
      <xdr:row>9</xdr:row>
      <xdr:rowOff>1653781</xdr:rowOff>
    </xdr:to>
    <xdr:pic>
      <xdr:nvPicPr>
        <xdr:cNvPr id="17" name="Рисунок 16" descr="Больница игровая 6 предметов.jpg">
          <a:extLst>
            <a:ext uri="{FF2B5EF4-FFF2-40B4-BE49-F238E27FC236}">
              <a16:creationId xmlns:a16="http://schemas.microsoft.com/office/drawing/2014/main" id="{68D63303-C3D4-42AE-BB0A-684F6583D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238" y="14003991"/>
          <a:ext cx="2311908" cy="157534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15</xdr:row>
      <xdr:rowOff>156882</xdr:rowOff>
    </xdr:from>
    <xdr:to>
      <xdr:col>1</xdr:col>
      <xdr:colOff>2719825</xdr:colOff>
      <xdr:row>15</xdr:row>
      <xdr:rowOff>1613647</xdr:rowOff>
    </xdr:to>
    <xdr:pic>
      <xdr:nvPicPr>
        <xdr:cNvPr id="18" name="Рисунок 17" descr="Машинка2.jpg">
          <a:extLst>
            <a:ext uri="{FF2B5EF4-FFF2-40B4-BE49-F238E27FC236}">
              <a16:creationId xmlns:a16="http://schemas.microsoft.com/office/drawing/2014/main" id="{445DAF6A-B1F4-4FEE-AE28-680AE0FA7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797" y="25655307"/>
          <a:ext cx="2630178" cy="1456765"/>
        </a:xfrm>
        <a:prstGeom prst="rect">
          <a:avLst/>
        </a:prstGeom>
      </xdr:spPr>
    </xdr:pic>
    <xdr:clientData/>
  </xdr:twoCellAnchor>
  <xdr:twoCellAnchor editAs="oneCell">
    <xdr:from>
      <xdr:col>1</xdr:col>
      <xdr:colOff>246530</xdr:colOff>
      <xdr:row>17</xdr:row>
      <xdr:rowOff>67235</xdr:rowOff>
    </xdr:from>
    <xdr:to>
      <xdr:col>1</xdr:col>
      <xdr:colOff>2633383</xdr:colOff>
      <xdr:row>17</xdr:row>
      <xdr:rowOff>1704624</xdr:rowOff>
    </xdr:to>
    <xdr:pic>
      <xdr:nvPicPr>
        <xdr:cNvPr id="19" name="Рисунок 18" descr="Катер2.jpg">
          <a:extLst>
            <a:ext uri="{FF2B5EF4-FFF2-40B4-BE49-F238E27FC236}">
              <a16:creationId xmlns:a16="http://schemas.microsoft.com/office/drawing/2014/main" id="{E64B00DC-79FA-45C6-864E-26D71B18E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680" y="29128010"/>
          <a:ext cx="2386853" cy="1637389"/>
        </a:xfrm>
        <a:prstGeom prst="rect">
          <a:avLst/>
        </a:prstGeom>
      </xdr:spPr>
    </xdr:pic>
    <xdr:clientData/>
  </xdr:twoCellAnchor>
  <xdr:twoCellAnchor editAs="oneCell">
    <xdr:from>
      <xdr:col>1</xdr:col>
      <xdr:colOff>280148</xdr:colOff>
      <xdr:row>24</xdr:row>
      <xdr:rowOff>67235</xdr:rowOff>
    </xdr:from>
    <xdr:to>
      <xdr:col>1</xdr:col>
      <xdr:colOff>2521323</xdr:colOff>
      <xdr:row>24</xdr:row>
      <xdr:rowOff>1670891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3D9B7E4-2F7C-46B8-83C6-66EE4E6FB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2298" y="42301085"/>
          <a:ext cx="2241175" cy="1603656"/>
        </a:xfrm>
        <a:prstGeom prst="rect">
          <a:avLst/>
        </a:prstGeom>
      </xdr:spPr>
    </xdr:pic>
    <xdr:clientData/>
  </xdr:twoCellAnchor>
  <xdr:twoCellAnchor editAs="oneCell">
    <xdr:from>
      <xdr:col>1</xdr:col>
      <xdr:colOff>246529</xdr:colOff>
      <xdr:row>25</xdr:row>
      <xdr:rowOff>67236</xdr:rowOff>
    </xdr:from>
    <xdr:to>
      <xdr:col>1</xdr:col>
      <xdr:colOff>2032467</xdr:colOff>
      <xdr:row>25</xdr:row>
      <xdr:rowOff>1665055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63406354-3743-424C-902D-5622D67B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679" y="44082261"/>
          <a:ext cx="1785938" cy="15978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35</xdr:row>
      <xdr:rowOff>67236</xdr:rowOff>
    </xdr:from>
    <xdr:to>
      <xdr:col>1</xdr:col>
      <xdr:colOff>2507456</xdr:colOff>
      <xdr:row>35</xdr:row>
      <xdr:rowOff>1703155</xdr:rowOff>
    </xdr:to>
    <xdr:pic>
      <xdr:nvPicPr>
        <xdr:cNvPr id="22" name="Рисунок 21" descr="новый дидактический стол.jpg">
          <a:extLst>
            <a:ext uri="{FF2B5EF4-FFF2-40B4-BE49-F238E27FC236}">
              <a16:creationId xmlns:a16="http://schemas.microsoft.com/office/drawing/2014/main" id="{03B3E5F0-FDED-4CE7-8723-35EFD69C3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2650" y="64684836"/>
          <a:ext cx="2316956" cy="1635919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403412</xdr:colOff>
      <xdr:row>6</xdr:row>
      <xdr:rowOff>156881</xdr:rowOff>
    </xdr:from>
    <xdr:to>
      <xdr:col>1</xdr:col>
      <xdr:colOff>2231325</xdr:colOff>
      <xdr:row>6</xdr:row>
      <xdr:rowOff>2196352</xdr:rowOff>
    </xdr:to>
    <xdr:pic>
      <xdr:nvPicPr>
        <xdr:cNvPr id="23" name="Рисунок 22" descr="магазин2.jpg">
          <a:extLst>
            <a:ext uri="{FF2B5EF4-FFF2-40B4-BE49-F238E27FC236}">
              <a16:creationId xmlns:a16="http://schemas.microsoft.com/office/drawing/2014/main" id="{3E2C34B1-C14D-4C85-8FAC-77558D3C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5562" y="7795931"/>
          <a:ext cx="1827913" cy="2039471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526677</xdr:colOff>
      <xdr:row>21</xdr:row>
      <xdr:rowOff>179296</xdr:rowOff>
    </xdr:from>
    <xdr:to>
      <xdr:col>1</xdr:col>
      <xdr:colOff>1882588</xdr:colOff>
      <xdr:row>21</xdr:row>
      <xdr:rowOff>1633394</xdr:rowOff>
    </xdr:to>
    <xdr:pic>
      <xdr:nvPicPr>
        <xdr:cNvPr id="24" name="Рисунок 23" descr="17911 Игровая зона Парикмахерская цветок.jpg">
          <a:extLst>
            <a:ext uri="{FF2B5EF4-FFF2-40B4-BE49-F238E27FC236}">
              <a16:creationId xmlns:a16="http://schemas.microsoft.com/office/drawing/2014/main" id="{F787A485-8AAE-47C7-BD04-17E14CD96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827" y="36364771"/>
          <a:ext cx="1355911" cy="1454098"/>
        </a:xfrm>
        <a:prstGeom prst="rect">
          <a:avLst/>
        </a:prstGeom>
      </xdr:spPr>
    </xdr:pic>
    <xdr:clientData/>
  </xdr:twoCellAnchor>
  <xdr:twoCellAnchor editAs="oneCell">
    <xdr:from>
      <xdr:col>1</xdr:col>
      <xdr:colOff>358587</xdr:colOff>
      <xdr:row>22</xdr:row>
      <xdr:rowOff>78441</xdr:rowOff>
    </xdr:from>
    <xdr:to>
      <xdr:col>1</xdr:col>
      <xdr:colOff>2095500</xdr:colOff>
      <xdr:row>22</xdr:row>
      <xdr:rowOff>1706310</xdr:rowOff>
    </xdr:to>
    <xdr:pic>
      <xdr:nvPicPr>
        <xdr:cNvPr id="25" name="Рисунок 24" descr="32931 Игровая парикмахерская 1200х300х1100.jpg">
          <a:extLst>
            <a:ext uri="{FF2B5EF4-FFF2-40B4-BE49-F238E27FC236}">
              <a16:creationId xmlns:a16="http://schemas.microsoft.com/office/drawing/2014/main" id="{2B115F17-8A10-4422-8761-1D6F615E7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0737" y="38549916"/>
          <a:ext cx="1736913" cy="1627869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672354</xdr:colOff>
      <xdr:row>7</xdr:row>
      <xdr:rowOff>44823</xdr:rowOff>
    </xdr:from>
    <xdr:to>
      <xdr:col>1</xdr:col>
      <xdr:colOff>2010617</xdr:colOff>
      <xdr:row>7</xdr:row>
      <xdr:rowOff>1876004</xdr:rowOff>
    </xdr:to>
    <xdr:pic>
      <xdr:nvPicPr>
        <xdr:cNvPr id="26" name="Рисунок 25" descr="25030 Детская игровая зона - Магазин с аркой 1250х550х1700.jpg">
          <a:extLst>
            <a:ext uri="{FF2B5EF4-FFF2-40B4-BE49-F238E27FC236}">
              <a16:creationId xmlns:a16="http://schemas.microsoft.com/office/drawing/2014/main" id="{030CA159-E037-4AF1-A921-6FA1BF793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4504" y="10160373"/>
          <a:ext cx="1338263" cy="1831181"/>
        </a:xfrm>
        <a:prstGeom prst="rect">
          <a:avLst/>
        </a:prstGeom>
      </xdr:spPr>
    </xdr:pic>
    <xdr:clientData/>
  </xdr:twoCellAnchor>
  <xdr:twoCellAnchor editAs="oneCell">
    <xdr:from>
      <xdr:col>1</xdr:col>
      <xdr:colOff>605116</xdr:colOff>
      <xdr:row>2</xdr:row>
      <xdr:rowOff>168088</xdr:rowOff>
    </xdr:from>
    <xdr:to>
      <xdr:col>1</xdr:col>
      <xdr:colOff>1837763</xdr:colOff>
      <xdr:row>2</xdr:row>
      <xdr:rowOff>1713080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CAD2813-0D14-4D7D-A624-CEE3DA923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7266" y="682438"/>
          <a:ext cx="1232647" cy="1544992"/>
        </a:xfrm>
        <a:prstGeom prst="rect">
          <a:avLst/>
        </a:prstGeom>
      </xdr:spPr>
    </xdr:pic>
    <xdr:clientData/>
  </xdr:twoCellAnchor>
  <xdr:twoCellAnchor editAs="oneCell">
    <xdr:from>
      <xdr:col>1</xdr:col>
      <xdr:colOff>414617</xdr:colOff>
      <xdr:row>3</xdr:row>
      <xdr:rowOff>123265</xdr:rowOff>
    </xdr:from>
    <xdr:to>
      <xdr:col>1</xdr:col>
      <xdr:colOff>2039471</xdr:colOff>
      <xdr:row>3</xdr:row>
      <xdr:rowOff>1713855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E0991B62-3185-411C-915F-71190388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6767" y="2418790"/>
          <a:ext cx="1624854" cy="1590590"/>
        </a:xfrm>
        <a:prstGeom prst="rect">
          <a:avLst/>
        </a:prstGeom>
      </xdr:spPr>
    </xdr:pic>
    <xdr:clientData/>
  </xdr:twoCellAnchor>
  <xdr:twoCellAnchor editAs="oneCell">
    <xdr:from>
      <xdr:col>1</xdr:col>
      <xdr:colOff>470648</xdr:colOff>
      <xdr:row>4</xdr:row>
      <xdr:rowOff>145678</xdr:rowOff>
    </xdr:from>
    <xdr:to>
      <xdr:col>1</xdr:col>
      <xdr:colOff>2172289</xdr:colOff>
      <xdr:row>4</xdr:row>
      <xdr:rowOff>1515849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0C8515A-AB4E-4311-8B10-39023FB3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2798" y="4222378"/>
          <a:ext cx="1701641" cy="1370171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18</xdr:row>
      <xdr:rowOff>156882</xdr:rowOff>
    </xdr:from>
    <xdr:to>
      <xdr:col>1</xdr:col>
      <xdr:colOff>2286000</xdr:colOff>
      <xdr:row>18</xdr:row>
      <xdr:rowOff>1628447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434BBF7A-B03D-496E-9691-78A8BA7C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8327" y="30998832"/>
          <a:ext cx="1949823" cy="1471565"/>
        </a:xfrm>
        <a:prstGeom prst="rect">
          <a:avLst/>
        </a:prstGeom>
      </xdr:spPr>
    </xdr:pic>
    <xdr:clientData/>
  </xdr:twoCellAnchor>
  <xdr:twoCellAnchor editAs="oneCell">
    <xdr:from>
      <xdr:col>1</xdr:col>
      <xdr:colOff>717175</xdr:colOff>
      <xdr:row>20</xdr:row>
      <xdr:rowOff>112057</xdr:rowOff>
    </xdr:from>
    <xdr:to>
      <xdr:col>1</xdr:col>
      <xdr:colOff>2084292</xdr:colOff>
      <xdr:row>20</xdr:row>
      <xdr:rowOff>1710634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E252ED60-2E42-4746-BB6C-DB10172A2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9325" y="34516357"/>
          <a:ext cx="1367117" cy="1598577"/>
        </a:xfrm>
        <a:prstGeom prst="rect">
          <a:avLst/>
        </a:prstGeom>
      </xdr:spPr>
    </xdr:pic>
    <xdr:clientData/>
  </xdr:twoCellAnchor>
  <xdr:twoCellAnchor editAs="oneCell">
    <xdr:from>
      <xdr:col>1</xdr:col>
      <xdr:colOff>717178</xdr:colOff>
      <xdr:row>29</xdr:row>
      <xdr:rowOff>134471</xdr:rowOff>
    </xdr:from>
    <xdr:to>
      <xdr:col>1</xdr:col>
      <xdr:colOff>1905000</xdr:colOff>
      <xdr:row>29</xdr:row>
      <xdr:rowOff>1690647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437FAA5-0B53-4FFD-B792-03D6006ED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9328" y="51274196"/>
          <a:ext cx="1187822" cy="1556176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201708</xdr:colOff>
      <xdr:row>38</xdr:row>
      <xdr:rowOff>100854</xdr:rowOff>
    </xdr:from>
    <xdr:to>
      <xdr:col>1</xdr:col>
      <xdr:colOff>2599766</xdr:colOff>
      <xdr:row>38</xdr:row>
      <xdr:rowOff>1664948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CB6CF8F-2B5C-48C9-8D11-924615259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3858" y="70061979"/>
          <a:ext cx="2398058" cy="1564094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313763</xdr:colOff>
      <xdr:row>8</xdr:row>
      <xdr:rowOff>89649</xdr:rowOff>
    </xdr:from>
    <xdr:to>
      <xdr:col>1</xdr:col>
      <xdr:colOff>2151529</xdr:colOff>
      <xdr:row>8</xdr:row>
      <xdr:rowOff>1820117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E7D92142-62A6-4CB3-A68A-86C8F885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5913" y="12110199"/>
          <a:ext cx="1837766" cy="1730468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313765</xdr:colOff>
      <xdr:row>16</xdr:row>
      <xdr:rowOff>33616</xdr:rowOff>
    </xdr:from>
    <xdr:to>
      <xdr:col>1</xdr:col>
      <xdr:colOff>2173941</xdr:colOff>
      <xdr:row>16</xdr:row>
      <xdr:rowOff>1655741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B8C71F2-A059-461A-A545-B18214F1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5915" y="27313216"/>
          <a:ext cx="1860176" cy="162212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31</xdr:row>
      <xdr:rowOff>246529</xdr:rowOff>
    </xdr:from>
    <xdr:to>
      <xdr:col>1</xdr:col>
      <xdr:colOff>2652249</xdr:colOff>
      <xdr:row>31</xdr:row>
      <xdr:rowOff>1580030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C6684789-6DEF-41B2-BFE6-B718704BD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6622" y="55120054"/>
          <a:ext cx="2517777" cy="1333501"/>
        </a:xfrm>
        <a:prstGeom prst="rect">
          <a:avLst/>
        </a:prstGeom>
      </xdr:spPr>
    </xdr:pic>
    <xdr:clientData/>
  </xdr:twoCellAnchor>
  <xdr:twoCellAnchor editAs="oneCell">
    <xdr:from>
      <xdr:col>1</xdr:col>
      <xdr:colOff>672481</xdr:colOff>
      <xdr:row>10</xdr:row>
      <xdr:rowOff>89648</xdr:rowOff>
    </xdr:from>
    <xdr:to>
      <xdr:col>1</xdr:col>
      <xdr:colOff>2218765</xdr:colOff>
      <xdr:row>10</xdr:row>
      <xdr:rowOff>1736612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41E1D70-E5F9-4C26-9A03-A92C556D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4631" y="15796373"/>
          <a:ext cx="1546284" cy="1646964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347382</xdr:colOff>
      <xdr:row>37</xdr:row>
      <xdr:rowOff>123266</xdr:rowOff>
    </xdr:from>
    <xdr:to>
      <xdr:col>1</xdr:col>
      <xdr:colOff>2364441</xdr:colOff>
      <xdr:row>37</xdr:row>
      <xdr:rowOff>1529318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34797443-C7C2-4C8C-80E3-868187DFC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532" y="68303216"/>
          <a:ext cx="2017059" cy="1406052"/>
        </a:xfrm>
        <a:prstGeom prst="rect">
          <a:avLst/>
        </a:prstGeom>
      </xdr:spPr>
    </xdr:pic>
    <xdr:clientData/>
  </xdr:twoCellAnchor>
  <xdr:twoCellAnchor editAs="oneCell">
    <xdr:from>
      <xdr:col>8</xdr:col>
      <xdr:colOff>930088</xdr:colOff>
      <xdr:row>0</xdr:row>
      <xdr:rowOff>89647</xdr:rowOff>
    </xdr:from>
    <xdr:to>
      <xdr:col>10</xdr:col>
      <xdr:colOff>91536</xdr:colOff>
      <xdr:row>2</xdr:row>
      <xdr:rowOff>241091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D7F3699F-DCC3-4304-8A46-3E1DB1E0D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258" r="1884"/>
        <a:stretch/>
      </xdr:blipFill>
      <xdr:spPr>
        <a:xfrm rot="20918134">
          <a:off x="9984441" y="89647"/>
          <a:ext cx="539771" cy="5996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118987</xdr:colOff>
      <xdr:row>0</xdr:row>
      <xdr:rowOff>47625</xdr:rowOff>
    </xdr:from>
    <xdr:to>
      <xdr:col>7</xdr:col>
      <xdr:colOff>296787</xdr:colOff>
      <xdr:row>23</xdr:row>
      <xdr:rowOff>111125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ACB6512-3DEE-45ED-84E5-1EB6C96E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987" y="47625"/>
          <a:ext cx="4445000" cy="4445000"/>
        </a:xfrm>
        <a:prstGeom prst="rect">
          <a:avLst/>
        </a:prstGeom>
      </xdr:spPr>
    </xdr:pic>
    <xdr:clientData/>
  </xdr:twoCellAnchor>
  <xdr:twoCellAnchor editAs="oneCell">
    <xdr:from>
      <xdr:col>7</xdr:col>
      <xdr:colOff>395212</xdr:colOff>
      <xdr:row>0</xdr:row>
      <xdr:rowOff>45225</xdr:rowOff>
    </xdr:from>
    <xdr:to>
      <xdr:col>14</xdr:col>
      <xdr:colOff>573012</xdr:colOff>
      <xdr:row>23</xdr:row>
      <xdr:rowOff>108725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E659F43-2EB6-4DF0-A6FD-745604B7F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2412" y="45225"/>
          <a:ext cx="4445000" cy="444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118987</xdr:colOff>
      <xdr:row>24</xdr:row>
      <xdr:rowOff>22188</xdr:rowOff>
    </xdr:from>
    <xdr:to>
      <xdr:col>7</xdr:col>
      <xdr:colOff>296787</xdr:colOff>
      <xdr:row>47</xdr:row>
      <xdr:rowOff>85688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F7D6C6B-4A10-420A-B029-58AF1336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987" y="4594188"/>
          <a:ext cx="4445000" cy="4445000"/>
        </a:xfrm>
        <a:prstGeom prst="rect">
          <a:avLst/>
        </a:prstGeom>
      </xdr:spPr>
    </xdr:pic>
    <xdr:clientData/>
  </xdr:twoCellAnchor>
  <xdr:twoCellAnchor editAs="oneCell">
    <xdr:from>
      <xdr:col>7</xdr:col>
      <xdr:colOff>395212</xdr:colOff>
      <xdr:row>24</xdr:row>
      <xdr:rowOff>21375</xdr:rowOff>
    </xdr:from>
    <xdr:to>
      <xdr:col>14</xdr:col>
      <xdr:colOff>573012</xdr:colOff>
      <xdr:row>47</xdr:row>
      <xdr:rowOff>84875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E6B58DF-4210-404C-982C-1E2550D64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2412" y="4593375"/>
          <a:ext cx="4445000" cy="444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118987</xdr:colOff>
      <xdr:row>47</xdr:row>
      <xdr:rowOff>187251</xdr:rowOff>
    </xdr:from>
    <xdr:to>
      <xdr:col>7</xdr:col>
      <xdr:colOff>296787</xdr:colOff>
      <xdr:row>71</xdr:row>
      <xdr:rowOff>60251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493CBA7-4A6E-49D4-A840-D33FC692A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987" y="9140751"/>
          <a:ext cx="4445000" cy="4445000"/>
        </a:xfrm>
        <a:prstGeom prst="rect">
          <a:avLst/>
        </a:prstGeom>
      </xdr:spPr>
    </xdr:pic>
    <xdr:clientData/>
  </xdr:twoCellAnchor>
  <xdr:twoCellAnchor editAs="oneCell">
    <xdr:from>
      <xdr:col>7</xdr:col>
      <xdr:colOff>395212</xdr:colOff>
      <xdr:row>47</xdr:row>
      <xdr:rowOff>188025</xdr:rowOff>
    </xdr:from>
    <xdr:to>
      <xdr:col>14</xdr:col>
      <xdr:colOff>573012</xdr:colOff>
      <xdr:row>71</xdr:row>
      <xdr:rowOff>61025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2D707D3-AC3F-47A8-A7FB-9B3B682B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2412" y="9141525"/>
          <a:ext cx="4445000" cy="444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71</xdr:row>
      <xdr:rowOff>180975</xdr:rowOff>
    </xdr:from>
    <xdr:to>
      <xdr:col>7</xdr:col>
      <xdr:colOff>272581</xdr:colOff>
      <xdr:row>95</xdr:row>
      <xdr:rowOff>43981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96B07B0-7736-40C1-B1DC-F2AB68ADA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3706475"/>
          <a:ext cx="4435006" cy="44350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99392</xdr:colOff>
      <xdr:row>8</xdr:row>
      <xdr:rowOff>28407</xdr:rowOff>
    </xdr:from>
    <xdr:to>
      <xdr:col>26</xdr:col>
      <xdr:colOff>111370</xdr:colOff>
      <xdr:row>16</xdr:row>
      <xdr:rowOff>99393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277BA8B-3036-4D00-8DE6-02F1BFE2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90067" y="1438107"/>
          <a:ext cx="1269278" cy="985386"/>
        </a:xfrm>
        <a:prstGeom prst="rect">
          <a:avLst/>
        </a:prstGeom>
      </xdr:spPr>
    </xdr:pic>
    <xdr:clientData/>
  </xdr:twoCellAnchor>
  <xdr:twoCellAnchor editAs="oneCell">
    <xdr:from>
      <xdr:col>29</xdr:col>
      <xdr:colOff>66260</xdr:colOff>
      <xdr:row>9</xdr:row>
      <xdr:rowOff>8282</xdr:rowOff>
    </xdr:from>
    <xdr:to>
      <xdr:col>40</xdr:col>
      <xdr:colOff>100473</xdr:colOff>
      <xdr:row>16</xdr:row>
      <xdr:rowOff>74543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BB7500E-3E4E-47CC-87EC-FD469EADE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09510" y="1532282"/>
          <a:ext cx="1405813" cy="866361"/>
        </a:xfrm>
        <a:prstGeom prst="rect">
          <a:avLst/>
        </a:prstGeom>
      </xdr:spPr>
    </xdr:pic>
    <xdr:clientData/>
  </xdr:twoCellAnchor>
  <xdr:twoCellAnchor editAs="oneCell">
    <xdr:from>
      <xdr:col>1</xdr:col>
      <xdr:colOff>99394</xdr:colOff>
      <xdr:row>70</xdr:row>
      <xdr:rowOff>49696</xdr:rowOff>
    </xdr:from>
    <xdr:to>
      <xdr:col>11</xdr:col>
      <xdr:colOff>107677</xdr:colOff>
      <xdr:row>76</xdr:row>
      <xdr:rowOff>70828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E870E55-BD7F-4831-A678-4D55A82B9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444" y="8164996"/>
          <a:ext cx="1151283" cy="706932"/>
        </a:xfrm>
        <a:prstGeom prst="rect">
          <a:avLst/>
        </a:prstGeom>
      </xdr:spPr>
    </xdr:pic>
    <xdr:clientData/>
  </xdr:twoCellAnchor>
  <xdr:twoCellAnchor editAs="oneCell">
    <xdr:from>
      <xdr:col>6</xdr:col>
      <xdr:colOff>74543</xdr:colOff>
      <xdr:row>74</xdr:row>
      <xdr:rowOff>66261</xdr:rowOff>
    </xdr:from>
    <xdr:to>
      <xdr:col>12</xdr:col>
      <xdr:colOff>75303</xdr:colOff>
      <xdr:row>79</xdr:row>
      <xdr:rowOff>14024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55A3EAD-0C59-4F74-936B-1B0FA5FA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093" y="8638761"/>
          <a:ext cx="686560" cy="519263"/>
        </a:xfrm>
        <a:prstGeom prst="rect">
          <a:avLst/>
        </a:prstGeom>
      </xdr:spPr>
    </xdr:pic>
    <xdr:clientData/>
  </xdr:twoCellAnchor>
  <xdr:twoCellAnchor editAs="oneCell">
    <xdr:from>
      <xdr:col>58</xdr:col>
      <xdr:colOff>63322</xdr:colOff>
      <xdr:row>69</xdr:row>
      <xdr:rowOff>107674</xdr:rowOff>
    </xdr:from>
    <xdr:to>
      <xdr:col>66</xdr:col>
      <xdr:colOff>144583</xdr:colOff>
      <xdr:row>79</xdr:row>
      <xdr:rowOff>82827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993D263-E955-4624-A650-E18D27EDC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7922" y="8108674"/>
          <a:ext cx="995661" cy="1118153"/>
        </a:xfrm>
        <a:prstGeom prst="rect">
          <a:avLst/>
        </a:prstGeom>
      </xdr:spPr>
    </xdr:pic>
    <xdr:clientData/>
  </xdr:twoCellAnchor>
  <xdr:twoCellAnchor editAs="oneCell">
    <xdr:from>
      <xdr:col>15</xdr:col>
      <xdr:colOff>106972</xdr:colOff>
      <xdr:row>84</xdr:row>
      <xdr:rowOff>70144</xdr:rowOff>
    </xdr:from>
    <xdr:to>
      <xdr:col>26</xdr:col>
      <xdr:colOff>116689</xdr:colOff>
      <xdr:row>91</xdr:row>
      <xdr:rowOff>107674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54E5EC1-B5C2-4E7E-AC5D-8F2B23AAE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647" y="9690394"/>
          <a:ext cx="1267017" cy="837630"/>
        </a:xfrm>
        <a:prstGeom prst="rect">
          <a:avLst/>
        </a:prstGeom>
      </xdr:spPr>
    </xdr:pic>
    <xdr:clientData/>
  </xdr:twoCellAnchor>
  <xdr:twoCellAnchor editAs="oneCell">
    <xdr:from>
      <xdr:col>29</xdr:col>
      <xdr:colOff>56527</xdr:colOff>
      <xdr:row>84</xdr:row>
      <xdr:rowOff>49061</xdr:rowOff>
    </xdr:from>
    <xdr:to>
      <xdr:col>40</xdr:col>
      <xdr:colOff>18573</xdr:colOff>
      <xdr:row>92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664F2A5-A3C4-4DBA-9C84-26F6FF3A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9777" y="9669311"/>
          <a:ext cx="1333646" cy="865339"/>
        </a:xfrm>
        <a:prstGeom prst="rect">
          <a:avLst/>
        </a:prstGeom>
      </xdr:spPr>
    </xdr:pic>
    <xdr:clientData/>
  </xdr:twoCellAnchor>
  <xdr:twoCellAnchor editAs="oneCell">
    <xdr:from>
      <xdr:col>44</xdr:col>
      <xdr:colOff>76834</xdr:colOff>
      <xdr:row>84</xdr:row>
      <xdr:rowOff>27270</xdr:rowOff>
    </xdr:from>
    <xdr:to>
      <xdr:col>53</xdr:col>
      <xdr:colOff>77029</xdr:colOff>
      <xdr:row>91</xdr:row>
      <xdr:rowOff>82826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E980204-3831-474B-9667-2F36A41F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6484" y="9647520"/>
          <a:ext cx="1124145" cy="855656"/>
        </a:xfrm>
        <a:prstGeom prst="rect">
          <a:avLst/>
        </a:prstGeom>
      </xdr:spPr>
    </xdr:pic>
    <xdr:clientData/>
  </xdr:twoCellAnchor>
  <xdr:twoCellAnchor editAs="oneCell">
    <xdr:from>
      <xdr:col>58</xdr:col>
      <xdr:colOff>49696</xdr:colOff>
      <xdr:row>24</xdr:row>
      <xdr:rowOff>57978</xdr:rowOff>
    </xdr:from>
    <xdr:to>
      <xdr:col>68</xdr:col>
      <xdr:colOff>17083</xdr:colOff>
      <xdr:row>35</xdr:row>
      <xdr:rowOff>99391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7D2CC64-A1CB-4F1C-8D38-7F3F5F275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74296" y="3201228"/>
          <a:ext cx="1196112" cy="1298713"/>
        </a:xfrm>
        <a:prstGeom prst="rect">
          <a:avLst/>
        </a:prstGeom>
      </xdr:spPr>
    </xdr:pic>
    <xdr:clientData/>
  </xdr:twoCellAnchor>
  <xdr:twoCellAnchor editAs="oneCell">
    <xdr:from>
      <xdr:col>3</xdr:col>
      <xdr:colOff>8284</xdr:colOff>
      <xdr:row>40</xdr:row>
      <xdr:rowOff>24850</xdr:rowOff>
    </xdr:from>
    <xdr:to>
      <xdr:col>11</xdr:col>
      <xdr:colOff>99392</xdr:colOff>
      <xdr:row>51</xdr:row>
      <xdr:rowOff>22778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40F577F-C50A-46F0-A9DF-325C3BE97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934" y="4901650"/>
          <a:ext cx="1005508" cy="1255228"/>
        </a:xfrm>
        <a:prstGeom prst="rect">
          <a:avLst/>
        </a:prstGeom>
      </xdr:spPr>
    </xdr:pic>
    <xdr:clientData/>
  </xdr:twoCellAnchor>
  <xdr:twoCellAnchor editAs="oneCell">
    <xdr:from>
      <xdr:col>17</xdr:col>
      <xdr:colOff>57980</xdr:colOff>
      <xdr:row>40</xdr:row>
      <xdr:rowOff>33130</xdr:rowOff>
    </xdr:from>
    <xdr:to>
      <xdr:col>25</xdr:col>
      <xdr:colOff>97161</xdr:colOff>
      <xdr:row>51</xdr:row>
      <xdr:rowOff>8282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68883FE-B5B7-47F4-8C93-B050980D0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7255" y="4909930"/>
          <a:ext cx="953581" cy="1232452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49696</xdr:colOff>
      <xdr:row>40</xdr:row>
      <xdr:rowOff>49696</xdr:rowOff>
    </xdr:from>
    <xdr:to>
      <xdr:col>39</xdr:col>
      <xdr:colOff>123411</xdr:colOff>
      <xdr:row>49</xdr:row>
      <xdr:rowOff>68409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BA6D3B0-BE95-4FED-97D9-CECC04990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1546" y="4926496"/>
          <a:ext cx="1073840" cy="1047413"/>
        </a:xfrm>
        <a:prstGeom prst="rect">
          <a:avLst/>
        </a:prstGeom>
      </xdr:spPr>
    </xdr:pic>
    <xdr:clientData/>
  </xdr:twoCellAnchor>
  <xdr:twoCellAnchor editAs="oneCell">
    <xdr:from>
      <xdr:col>44</xdr:col>
      <xdr:colOff>74544</xdr:colOff>
      <xdr:row>24</xdr:row>
      <xdr:rowOff>24848</xdr:rowOff>
    </xdr:from>
    <xdr:to>
      <xdr:col>53</xdr:col>
      <xdr:colOff>40306</xdr:colOff>
      <xdr:row>34</xdr:row>
      <xdr:rowOff>8283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9B4435A-A22C-476D-8F3C-6F72A8107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94194" y="3168098"/>
          <a:ext cx="1089712" cy="1126435"/>
        </a:xfrm>
        <a:prstGeom prst="rect">
          <a:avLst/>
        </a:prstGeom>
      </xdr:spPr>
    </xdr:pic>
    <xdr:clientData/>
  </xdr:twoCellAnchor>
  <xdr:twoCellAnchor editAs="oneCell">
    <xdr:from>
      <xdr:col>43</xdr:col>
      <xdr:colOff>82827</xdr:colOff>
      <xdr:row>41</xdr:row>
      <xdr:rowOff>8283</xdr:rowOff>
    </xdr:from>
    <xdr:to>
      <xdr:col>54</xdr:col>
      <xdr:colOff>71126</xdr:colOff>
      <xdr:row>49</xdr:row>
      <xdr:rowOff>66261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A4A2E7A-670B-4DD7-8482-E55AC35A2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8177" y="4999383"/>
          <a:ext cx="1340849" cy="972378"/>
        </a:xfrm>
        <a:prstGeom prst="rect">
          <a:avLst/>
        </a:prstGeom>
      </xdr:spPr>
    </xdr:pic>
    <xdr:clientData/>
  </xdr:twoCellAnchor>
  <xdr:twoCellAnchor editAs="oneCell">
    <xdr:from>
      <xdr:col>57</xdr:col>
      <xdr:colOff>66261</xdr:colOff>
      <xdr:row>40</xdr:row>
      <xdr:rowOff>66264</xdr:rowOff>
    </xdr:from>
    <xdr:to>
      <xdr:col>68</xdr:col>
      <xdr:colOff>93544</xdr:colOff>
      <xdr:row>49</xdr:row>
      <xdr:rowOff>82827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F1D5B3A-02A0-4F7D-9A00-0514C4F7B8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76561" y="4943064"/>
          <a:ext cx="1370308" cy="1045263"/>
        </a:xfrm>
        <a:prstGeom prst="rect">
          <a:avLst/>
        </a:prstGeom>
      </xdr:spPr>
    </xdr:pic>
    <xdr:clientData/>
  </xdr:twoCellAnchor>
  <xdr:twoCellAnchor editAs="oneCell">
    <xdr:from>
      <xdr:col>43</xdr:col>
      <xdr:colOff>74544</xdr:colOff>
      <xdr:row>56</xdr:row>
      <xdr:rowOff>74544</xdr:rowOff>
    </xdr:from>
    <xdr:to>
      <xdr:col>54</xdr:col>
      <xdr:colOff>77028</xdr:colOff>
      <xdr:row>64</xdr:row>
      <xdr:rowOff>89063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B6500E2-23BF-43DE-935D-0EE26BD81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9894" y="6684894"/>
          <a:ext cx="1355034" cy="928919"/>
        </a:xfrm>
        <a:prstGeom prst="rect">
          <a:avLst/>
        </a:prstGeom>
      </xdr:spPr>
    </xdr:pic>
    <xdr:clientData/>
  </xdr:twoCellAnchor>
  <xdr:twoCellAnchor editAs="oneCell">
    <xdr:from>
      <xdr:col>4</xdr:col>
      <xdr:colOff>41412</xdr:colOff>
      <xdr:row>84</xdr:row>
      <xdr:rowOff>16565</xdr:rowOff>
    </xdr:from>
    <xdr:to>
      <xdr:col>11</xdr:col>
      <xdr:colOff>8282</xdr:colOff>
      <xdr:row>94</xdr:row>
      <xdr:rowOff>4359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C356246-9F3A-4D72-923A-7E6213093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3362" y="9636815"/>
          <a:ext cx="766970" cy="1130794"/>
        </a:xfrm>
        <a:prstGeom prst="rect">
          <a:avLst/>
        </a:prstGeom>
      </xdr:spPr>
    </xdr:pic>
    <xdr:clientData/>
  </xdr:twoCellAnchor>
  <xdr:twoCellAnchor editAs="oneCell">
    <xdr:from>
      <xdr:col>50</xdr:col>
      <xdr:colOff>74543</xdr:colOff>
      <xdr:row>13</xdr:row>
      <xdr:rowOff>66261</xdr:rowOff>
    </xdr:from>
    <xdr:to>
      <xdr:col>55</xdr:col>
      <xdr:colOff>19050</xdr:colOff>
      <xdr:row>16</xdr:row>
      <xdr:rowOff>74038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476DAE1-526E-45C4-B57C-5694FD62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579993" y="2047461"/>
          <a:ext cx="611257" cy="350677"/>
        </a:xfrm>
        <a:prstGeom prst="rect">
          <a:avLst/>
        </a:prstGeom>
      </xdr:spPr>
    </xdr:pic>
    <xdr:clientData/>
  </xdr:twoCellAnchor>
  <xdr:twoCellAnchor editAs="oneCell">
    <xdr:from>
      <xdr:col>57</xdr:col>
      <xdr:colOff>107674</xdr:colOff>
      <xdr:row>56</xdr:row>
      <xdr:rowOff>57977</xdr:rowOff>
    </xdr:from>
    <xdr:to>
      <xdr:col>68</xdr:col>
      <xdr:colOff>31842</xdr:colOff>
      <xdr:row>65</xdr:row>
      <xdr:rowOff>8283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BBAA70A-6B38-47D9-A05A-1E169D11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7974" y="6668327"/>
          <a:ext cx="1267193" cy="979006"/>
        </a:xfrm>
        <a:prstGeom prst="rect">
          <a:avLst/>
        </a:prstGeom>
      </xdr:spPr>
    </xdr:pic>
    <xdr:clientData/>
  </xdr:twoCellAnchor>
  <xdr:twoCellAnchor editAs="oneCell">
    <xdr:from>
      <xdr:col>30</xdr:col>
      <xdr:colOff>74543</xdr:colOff>
      <xdr:row>70</xdr:row>
      <xdr:rowOff>17476</xdr:rowOff>
    </xdr:from>
    <xdr:to>
      <xdr:col>39</xdr:col>
      <xdr:colOff>57150</xdr:colOff>
      <xdr:row>78</xdr:row>
      <xdr:rowOff>31753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7886F57-EDC3-4C80-B9D5-F1C0F730A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2093" y="8132776"/>
          <a:ext cx="1097032" cy="928677"/>
        </a:xfrm>
        <a:prstGeom prst="rect">
          <a:avLst/>
        </a:prstGeom>
      </xdr:spPr>
    </xdr:pic>
    <xdr:clientData/>
  </xdr:twoCellAnchor>
  <xdr:twoCellAnchor editAs="oneCell">
    <xdr:from>
      <xdr:col>47</xdr:col>
      <xdr:colOff>1826</xdr:colOff>
      <xdr:row>70</xdr:row>
      <xdr:rowOff>26674</xdr:rowOff>
    </xdr:from>
    <xdr:to>
      <xdr:col>51</xdr:col>
      <xdr:colOff>41412</xdr:colOff>
      <xdr:row>77</xdr:row>
      <xdr:rowOff>65198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A5A0CFB-E507-4157-A763-DFE52D36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4376" y="8141974"/>
          <a:ext cx="496786" cy="838624"/>
        </a:xfrm>
        <a:prstGeom prst="rect">
          <a:avLst/>
        </a:prstGeom>
      </xdr:spPr>
    </xdr:pic>
    <xdr:clientData/>
  </xdr:twoCellAnchor>
  <xdr:twoCellAnchor editAs="oneCell">
    <xdr:from>
      <xdr:col>59</xdr:col>
      <xdr:colOff>41412</xdr:colOff>
      <xdr:row>83</xdr:row>
      <xdr:rowOff>38997</xdr:rowOff>
    </xdr:from>
    <xdr:to>
      <xdr:col>66</xdr:col>
      <xdr:colOff>139146</xdr:colOff>
      <xdr:row>93</xdr:row>
      <xdr:rowOff>99391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55A9688-F883-46F5-B001-A6C579476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480312" y="9544947"/>
          <a:ext cx="897834" cy="1203394"/>
        </a:xfrm>
        <a:prstGeom prst="rect">
          <a:avLst/>
        </a:prstGeom>
      </xdr:spPr>
    </xdr:pic>
    <xdr:clientData/>
  </xdr:twoCellAnchor>
  <xdr:twoCellAnchor editAs="oneCell">
    <xdr:from>
      <xdr:col>30</xdr:col>
      <xdr:colOff>8282</xdr:colOff>
      <xdr:row>56</xdr:row>
      <xdr:rowOff>66263</xdr:rowOff>
    </xdr:from>
    <xdr:to>
      <xdr:col>40</xdr:col>
      <xdr:colOff>46795</xdr:colOff>
      <xdr:row>64</xdr:row>
      <xdr:rowOff>86767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518A88D-F488-46A5-BBB0-A7C598944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265832" y="6676613"/>
          <a:ext cx="1295813" cy="934904"/>
        </a:xfrm>
        <a:prstGeom prst="rect">
          <a:avLst/>
        </a:prstGeom>
      </xdr:spPr>
    </xdr:pic>
    <xdr:clientData/>
  </xdr:twoCellAnchor>
  <xdr:twoCellAnchor editAs="oneCell">
    <xdr:from>
      <xdr:col>3</xdr:col>
      <xdr:colOff>24847</xdr:colOff>
      <xdr:row>57</xdr:row>
      <xdr:rowOff>8282</xdr:rowOff>
    </xdr:from>
    <xdr:to>
      <xdr:col>10</xdr:col>
      <xdr:colOff>82824</xdr:colOff>
      <xdr:row>62</xdr:row>
      <xdr:rowOff>94978</xdr:rowOff>
    </xdr:to>
    <xdr:pic>
      <xdr:nvPicPr>
        <xdr:cNvPr id="26" name="Рисунок 119">
          <a:extLst>
            <a:ext uri="{FF2B5EF4-FFF2-40B4-BE49-F238E27FC236}">
              <a16:creationId xmlns:a16="http://schemas.microsoft.com/office/drawing/2014/main" id="{5429824D-FE09-4120-BDC5-E3816244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72497" y="6732932"/>
          <a:ext cx="858077" cy="658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8284</xdr:colOff>
      <xdr:row>57</xdr:row>
      <xdr:rowOff>57978</xdr:rowOff>
    </xdr:from>
    <xdr:to>
      <xdr:col>25</xdr:col>
      <xdr:colOff>80757</xdr:colOff>
      <xdr:row>64</xdr:row>
      <xdr:rowOff>8283</xdr:rowOff>
    </xdr:to>
    <xdr:pic>
      <xdr:nvPicPr>
        <xdr:cNvPr id="27" name="Рисунок 118">
          <a:extLst>
            <a:ext uri="{FF2B5EF4-FFF2-40B4-BE49-F238E27FC236}">
              <a16:creationId xmlns:a16="http://schemas.microsoft.com/office/drawing/2014/main" id="{20147287-619B-40E8-AEDC-844BE6456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827559" y="6782628"/>
          <a:ext cx="986873" cy="750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74543</xdr:colOff>
      <xdr:row>8</xdr:row>
      <xdr:rowOff>58652</xdr:rowOff>
    </xdr:from>
    <xdr:to>
      <xdr:col>12</xdr:col>
      <xdr:colOff>107674</xdr:colOff>
      <xdr:row>16</xdr:row>
      <xdr:rowOff>45899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B49ED39-2B4F-4797-BC04-56BC07D1B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93" y="1468352"/>
          <a:ext cx="1290431" cy="901647"/>
        </a:xfrm>
        <a:prstGeom prst="rect">
          <a:avLst/>
        </a:prstGeom>
      </xdr:spPr>
    </xdr:pic>
    <xdr:clientData/>
  </xdr:twoCellAnchor>
  <xdr:twoCellAnchor editAs="oneCell">
    <xdr:from>
      <xdr:col>44</xdr:col>
      <xdr:colOff>8284</xdr:colOff>
      <xdr:row>8</xdr:row>
      <xdr:rowOff>42671</xdr:rowOff>
    </xdr:from>
    <xdr:to>
      <xdr:col>52</xdr:col>
      <xdr:colOff>74544</xdr:colOff>
      <xdr:row>14</xdr:row>
      <xdr:rowOff>23263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9F892E37-CC2B-4946-A350-6B8AAA74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7934" y="1452371"/>
          <a:ext cx="980660" cy="666392"/>
        </a:xfrm>
        <a:prstGeom prst="rect">
          <a:avLst/>
        </a:prstGeom>
      </xdr:spPr>
    </xdr:pic>
    <xdr:clientData/>
  </xdr:twoCellAnchor>
  <xdr:twoCellAnchor editAs="oneCell">
    <xdr:from>
      <xdr:col>57</xdr:col>
      <xdr:colOff>41413</xdr:colOff>
      <xdr:row>9</xdr:row>
      <xdr:rowOff>16566</xdr:rowOff>
    </xdr:from>
    <xdr:to>
      <xdr:col>68</xdr:col>
      <xdr:colOff>69987</xdr:colOff>
      <xdr:row>16</xdr:row>
      <xdr:rowOff>91869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05DC1B0-4D26-4370-8613-A3882DF7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1713" y="1540566"/>
          <a:ext cx="1371599" cy="875403"/>
        </a:xfrm>
        <a:prstGeom prst="rect">
          <a:avLst/>
        </a:prstGeom>
      </xdr:spPr>
    </xdr:pic>
    <xdr:clientData/>
  </xdr:twoCellAnchor>
  <xdr:twoCellAnchor editAs="oneCell">
    <xdr:from>
      <xdr:col>1</xdr:col>
      <xdr:colOff>66262</xdr:colOff>
      <xdr:row>25</xdr:row>
      <xdr:rowOff>0</xdr:rowOff>
    </xdr:from>
    <xdr:to>
      <xdr:col>13</xdr:col>
      <xdr:colOff>72770</xdr:colOff>
      <xdr:row>34</xdr:row>
      <xdr:rowOff>74544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3143900-F0FD-4BBF-BC68-16DE63B3D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12" y="3257550"/>
          <a:ext cx="1444783" cy="1103244"/>
        </a:xfrm>
        <a:prstGeom prst="rect">
          <a:avLst/>
        </a:prstGeom>
      </xdr:spPr>
    </xdr:pic>
    <xdr:clientData/>
  </xdr:twoCellAnchor>
  <xdr:twoCellAnchor editAs="oneCell">
    <xdr:from>
      <xdr:col>15</xdr:col>
      <xdr:colOff>74544</xdr:colOff>
      <xdr:row>24</xdr:row>
      <xdr:rowOff>16938</xdr:rowOff>
    </xdr:from>
    <xdr:to>
      <xdr:col>27</xdr:col>
      <xdr:colOff>746</xdr:colOff>
      <xdr:row>34</xdr:row>
      <xdr:rowOff>16567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571AF60-CC07-412B-86FE-CFE61B259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5219" y="3160188"/>
          <a:ext cx="1345427" cy="1142629"/>
        </a:xfrm>
        <a:prstGeom prst="rect">
          <a:avLst/>
        </a:prstGeom>
      </xdr:spPr>
    </xdr:pic>
    <xdr:clientData/>
  </xdr:twoCellAnchor>
  <xdr:twoCellAnchor editAs="oneCell">
    <xdr:from>
      <xdr:col>31</xdr:col>
      <xdr:colOff>91110</xdr:colOff>
      <xdr:row>24</xdr:row>
      <xdr:rowOff>5762</xdr:rowOff>
    </xdr:from>
    <xdr:to>
      <xdr:col>38</xdr:col>
      <xdr:colOff>172280</xdr:colOff>
      <xdr:row>33</xdr:row>
      <xdr:rowOff>95439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586D9261-AF66-4BCE-A3C5-8845C4743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2960" y="3149012"/>
          <a:ext cx="881270" cy="1118377"/>
        </a:xfrm>
        <a:prstGeom prst="rect">
          <a:avLst/>
        </a:prstGeom>
      </xdr:spPr>
    </xdr:pic>
    <xdr:clientData/>
  </xdr:twoCellAnchor>
  <xdr:twoCellAnchor editAs="oneCell">
    <xdr:from>
      <xdr:col>22</xdr:col>
      <xdr:colOff>57978</xdr:colOff>
      <xdr:row>69</xdr:row>
      <xdr:rowOff>107674</xdr:rowOff>
    </xdr:from>
    <xdr:to>
      <xdr:col>26</xdr:col>
      <xdr:colOff>99501</xdr:colOff>
      <xdr:row>77</xdr:row>
      <xdr:rowOff>41413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CC4AC1D-5994-41A2-9BA2-2FD3022B3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8753" y="8108674"/>
          <a:ext cx="498723" cy="848139"/>
        </a:xfrm>
        <a:prstGeom prst="rect">
          <a:avLst/>
        </a:prstGeom>
      </xdr:spPr>
    </xdr:pic>
    <xdr:clientData/>
  </xdr:twoCellAnchor>
  <xdr:twoCellAnchor editAs="oneCell">
    <xdr:from>
      <xdr:col>15</xdr:col>
      <xdr:colOff>33132</xdr:colOff>
      <xdr:row>69</xdr:row>
      <xdr:rowOff>113199</xdr:rowOff>
    </xdr:from>
    <xdr:to>
      <xdr:col>21</xdr:col>
      <xdr:colOff>53836</xdr:colOff>
      <xdr:row>78</xdr:row>
      <xdr:rowOff>24848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AC63D1D-8E5F-4F0B-AF5E-8ED9B9C44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807" y="8114199"/>
          <a:ext cx="706504" cy="940349"/>
        </a:xfrm>
        <a:prstGeom prst="rect">
          <a:avLst/>
        </a:prstGeom>
      </xdr:spPr>
    </xdr:pic>
    <xdr:clientData/>
  </xdr:twoCellAnchor>
  <xdr:twoCellAnchor editAs="oneCell">
    <xdr:from>
      <xdr:col>65</xdr:col>
      <xdr:colOff>64086</xdr:colOff>
      <xdr:row>0</xdr:row>
      <xdr:rowOff>627650</xdr:rowOff>
    </xdr:from>
    <xdr:to>
      <xdr:col>69</xdr:col>
      <xdr:colOff>68812</xdr:colOff>
      <xdr:row>1</xdr:row>
      <xdr:rowOff>101617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CB901A36-846D-4144-BCC5-B645C07B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18134">
          <a:off x="7703136" y="0"/>
          <a:ext cx="547651" cy="626492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0</xdr:row>
      <xdr:rowOff>171451</xdr:rowOff>
    </xdr:from>
    <xdr:to>
      <xdr:col>48</xdr:col>
      <xdr:colOff>95250</xdr:colOff>
      <xdr:row>0</xdr:row>
      <xdr:rowOff>1028701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6883A2A7-9D4C-4C87-AF75-6594F6CF3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8325" y="171451"/>
          <a:ext cx="38481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45580</xdr:colOff>
      <xdr:row>97</xdr:row>
      <xdr:rowOff>74033</xdr:rowOff>
    </xdr:from>
    <xdr:to>
      <xdr:col>50</xdr:col>
      <xdr:colOff>25263</xdr:colOff>
      <xdr:row>97</xdr:row>
      <xdr:rowOff>876300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1F7832F-78A3-4EB5-AB97-8C7B80F26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9480" y="15342608"/>
          <a:ext cx="1913258" cy="802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29134</xdr:colOff>
      <xdr:row>98</xdr:row>
      <xdr:rowOff>15031</xdr:rowOff>
    </xdr:from>
    <xdr:to>
      <xdr:col>50</xdr:col>
      <xdr:colOff>21120</xdr:colOff>
      <xdr:row>98</xdr:row>
      <xdr:rowOff>819151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A53CDF4-0DCB-4329-B41E-B566B3EDC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3034" y="16169431"/>
          <a:ext cx="1925561" cy="80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36980</xdr:colOff>
      <xdr:row>98</xdr:row>
      <xdr:rowOff>861391</xdr:rowOff>
    </xdr:from>
    <xdr:to>
      <xdr:col>50</xdr:col>
      <xdr:colOff>30645</xdr:colOff>
      <xdr:row>99</xdr:row>
      <xdr:rowOff>819150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78B710-6746-451A-A5CD-4CAF9DAA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0880" y="17015791"/>
          <a:ext cx="1927240" cy="843584"/>
        </a:xfrm>
        <a:prstGeom prst="rect">
          <a:avLst/>
        </a:prstGeom>
      </xdr:spPr>
    </xdr:pic>
    <xdr:clientData/>
  </xdr:twoCellAnchor>
  <xdr:twoCellAnchor editAs="oneCell">
    <xdr:from>
      <xdr:col>34</xdr:col>
      <xdr:colOff>38659</xdr:colOff>
      <xdr:row>99</xdr:row>
      <xdr:rowOff>877958</xdr:rowOff>
    </xdr:from>
    <xdr:to>
      <xdr:col>50</xdr:col>
      <xdr:colOff>40170</xdr:colOff>
      <xdr:row>100</xdr:row>
      <xdr:rowOff>857250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6FC9DA1F-504E-454C-A48A-88FBA2DF5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559" y="17918183"/>
          <a:ext cx="1935086" cy="86511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98</xdr:row>
      <xdr:rowOff>24847</xdr:rowOff>
    </xdr:from>
    <xdr:to>
      <xdr:col>17</xdr:col>
      <xdr:colOff>28575</xdr:colOff>
      <xdr:row>98</xdr:row>
      <xdr:rowOff>866775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9A504514-9FFF-4F3D-A853-4147D6EC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6179247"/>
          <a:ext cx="1876425" cy="841928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99</xdr:row>
      <xdr:rowOff>0</xdr:rowOff>
    </xdr:from>
    <xdr:to>
      <xdr:col>17</xdr:col>
      <xdr:colOff>9525</xdr:colOff>
      <xdr:row>100</xdr:row>
      <xdr:rowOff>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C42B9AAD-8292-4E67-975A-6FD6E8CA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4" y="17040225"/>
          <a:ext cx="1868141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25676</xdr:colOff>
      <xdr:row>97</xdr:row>
      <xdr:rowOff>65849</xdr:rowOff>
    </xdr:from>
    <xdr:to>
      <xdr:col>17</xdr:col>
      <xdr:colOff>26090</xdr:colOff>
      <xdr:row>98</xdr:row>
      <xdr:rowOff>9525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BA77051-30F5-4050-A53B-C0C98A032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26" y="15334424"/>
          <a:ext cx="1867314" cy="829501"/>
        </a:xfrm>
        <a:prstGeom prst="rect">
          <a:avLst/>
        </a:prstGeom>
      </xdr:spPr>
    </xdr:pic>
    <xdr:clientData/>
  </xdr:twoCellAnchor>
  <xdr:twoCellAnchor editAs="oneCell">
    <xdr:from>
      <xdr:col>18</xdr:col>
      <xdr:colOff>27333</xdr:colOff>
      <xdr:row>97</xdr:row>
      <xdr:rowOff>66675</xdr:rowOff>
    </xdr:from>
    <xdr:to>
      <xdr:col>35</xdr:col>
      <xdr:colOff>19050</xdr:colOff>
      <xdr:row>97</xdr:row>
      <xdr:rowOff>857250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3194AC9F-7715-4772-A289-2DB910E66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558" y="15335250"/>
          <a:ext cx="1991967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98</xdr:row>
      <xdr:rowOff>9526</xdr:rowOff>
    </xdr:from>
    <xdr:to>
      <xdr:col>35</xdr:col>
      <xdr:colOff>19050</xdr:colOff>
      <xdr:row>98</xdr:row>
      <xdr:rowOff>828675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786047FF-BF45-4981-A7C6-E9BBCBC11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6163926"/>
          <a:ext cx="1990725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100</xdr:row>
      <xdr:rowOff>19050</xdr:rowOff>
    </xdr:from>
    <xdr:to>
      <xdr:col>17</xdr:col>
      <xdr:colOff>28576</xdr:colOff>
      <xdr:row>101</xdr:row>
      <xdr:rowOff>9524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1850CFCE-5785-49B9-9539-E5E565FDC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17945100"/>
          <a:ext cx="1885950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101</xdr:row>
      <xdr:rowOff>47625</xdr:rowOff>
    </xdr:from>
    <xdr:to>
      <xdr:col>17</xdr:col>
      <xdr:colOff>38100</xdr:colOff>
      <xdr:row>101</xdr:row>
      <xdr:rowOff>876300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13E027DE-1E5E-4B16-A0E7-5F50BD733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18859500"/>
          <a:ext cx="1895474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102</xdr:row>
      <xdr:rowOff>9525</xdr:rowOff>
    </xdr:from>
    <xdr:to>
      <xdr:col>17</xdr:col>
      <xdr:colOff>38101</xdr:colOff>
      <xdr:row>102</xdr:row>
      <xdr:rowOff>866775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F21DBBC0-2B14-49CC-AA61-989F81423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15935325"/>
          <a:ext cx="1885950" cy="85725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98</xdr:row>
      <xdr:rowOff>857249</xdr:rowOff>
    </xdr:from>
    <xdr:to>
      <xdr:col>35</xdr:col>
      <xdr:colOff>10767</xdr:colOff>
      <xdr:row>99</xdr:row>
      <xdr:rowOff>828675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B9381F99-4EC7-46BE-973E-C8A6A85DD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7011649"/>
          <a:ext cx="1982442" cy="857251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99</xdr:row>
      <xdr:rowOff>833643</xdr:rowOff>
    </xdr:from>
    <xdr:to>
      <xdr:col>35</xdr:col>
      <xdr:colOff>10767</xdr:colOff>
      <xdr:row>100</xdr:row>
      <xdr:rowOff>866775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383C3431-6347-46BD-979A-5E253A92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0275" y="17873868"/>
          <a:ext cx="1991967" cy="918957"/>
        </a:xfrm>
        <a:prstGeom prst="rect">
          <a:avLst/>
        </a:prstGeom>
      </xdr:spPr>
    </xdr:pic>
    <xdr:clientData/>
  </xdr:twoCellAnchor>
  <xdr:oneCellAnchor>
    <xdr:from>
      <xdr:col>35</xdr:col>
      <xdr:colOff>49697</xdr:colOff>
      <xdr:row>97</xdr:row>
      <xdr:rowOff>207064</xdr:rowOff>
    </xdr:from>
    <xdr:ext cx="1706218" cy="595864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4ACEAA1-E71E-4AA4-B2DA-372E9D3297B0}"/>
            </a:ext>
          </a:extLst>
        </xdr:cNvPr>
        <xdr:cNvSpPr txBox="1"/>
      </xdr:nvSpPr>
      <xdr:spPr>
        <a:xfrm>
          <a:off x="4697897" y="15475639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/>
            <a:t>Красный</a:t>
          </a:r>
          <a:br>
            <a:rPr lang="ru-RU" sz="1100"/>
          </a:br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oneCellAnchor>
    <xdr:from>
      <xdr:col>35</xdr:col>
      <xdr:colOff>3313</xdr:colOff>
      <xdr:row>98</xdr:row>
      <xdr:rowOff>177248</xdr:rowOff>
    </xdr:from>
    <xdr:ext cx="1706218" cy="595864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93D7C53-4031-4C0B-9F69-13BE29D872DC}"/>
            </a:ext>
          </a:extLst>
        </xdr:cNvPr>
        <xdr:cNvSpPr txBox="1"/>
      </xdr:nvSpPr>
      <xdr:spPr>
        <a:xfrm>
          <a:off x="4651513" y="16331648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/>
            <a:t>Синий</a:t>
          </a:r>
          <a:br>
            <a:rPr lang="ru-RU" sz="1100"/>
          </a:br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oneCellAnchor>
    <xdr:from>
      <xdr:col>35</xdr:col>
      <xdr:colOff>12568</xdr:colOff>
      <xdr:row>99</xdr:row>
      <xdr:rowOff>205529</xdr:rowOff>
    </xdr:from>
    <xdr:ext cx="1706218" cy="595864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EA0626B3-2F93-4809-AEC2-AF26A2ED8AC6}"/>
            </a:ext>
          </a:extLst>
        </xdr:cNvPr>
        <xdr:cNvSpPr txBox="1"/>
      </xdr:nvSpPr>
      <xdr:spPr>
        <a:xfrm>
          <a:off x="4660768" y="17245754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/>
            <a:t>Желтый</a:t>
          </a:r>
        </a:p>
        <a:p>
          <a:pPr algn="ctr"/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oneCellAnchor>
    <xdr:from>
      <xdr:col>35</xdr:col>
      <xdr:colOff>32448</xdr:colOff>
      <xdr:row>100</xdr:row>
      <xdr:rowOff>167430</xdr:rowOff>
    </xdr:from>
    <xdr:ext cx="1706218" cy="595864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AC263229-77ED-429A-8F80-20C3E0B1CA0D}"/>
            </a:ext>
          </a:extLst>
        </xdr:cNvPr>
        <xdr:cNvSpPr txBox="1"/>
      </xdr:nvSpPr>
      <xdr:spPr>
        <a:xfrm>
          <a:off x="4680648" y="18093480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ru-RU" sz="1100" b="1"/>
            <a:t>Зеленый</a:t>
          </a:r>
          <a:br>
            <a:rPr lang="ru-RU" sz="1100"/>
          </a:br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twoCellAnchor editAs="oneCell">
    <xdr:from>
      <xdr:col>22</xdr:col>
      <xdr:colOff>3727</xdr:colOff>
      <xdr:row>101</xdr:row>
      <xdr:rowOff>207066</xdr:rowOff>
    </xdr:from>
    <xdr:to>
      <xdr:col>44</xdr:col>
      <xdr:colOff>97320</xdr:colOff>
      <xdr:row>102</xdr:row>
      <xdr:rowOff>714375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FB4BB08C-F251-4C82-BB65-D1883C1D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1177" y="15247041"/>
          <a:ext cx="2770118" cy="1393134"/>
        </a:xfrm>
        <a:prstGeom prst="rect">
          <a:avLst/>
        </a:prstGeom>
      </xdr:spPr>
    </xdr:pic>
    <xdr:clientData/>
  </xdr:twoCellAnchor>
  <xdr:oneCellAnchor>
    <xdr:from>
      <xdr:col>6</xdr:col>
      <xdr:colOff>67091</xdr:colOff>
      <xdr:row>97</xdr:row>
      <xdr:rowOff>314326</xdr:rowOff>
    </xdr:from>
    <xdr:ext cx="1706218" cy="4953411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DB5916F-72E2-4A1F-820A-47A417403552}"/>
            </a:ext>
          </a:extLst>
        </xdr:cNvPr>
        <xdr:cNvSpPr txBox="1"/>
      </xdr:nvSpPr>
      <xdr:spPr>
        <a:xfrm>
          <a:off x="695741" y="15582901"/>
          <a:ext cx="1706218" cy="49534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Бук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Пепельный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Ольха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Дуб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Орех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Вишня</a:t>
          </a:r>
        </a:p>
      </xdr:txBody>
    </xdr:sp>
    <xdr:clientData/>
  </xdr:oneCellAnchor>
  <xdr:oneCellAnchor>
    <xdr:from>
      <xdr:col>19</xdr:col>
      <xdr:colOff>82826</xdr:colOff>
      <xdr:row>97</xdr:row>
      <xdr:rowOff>306457</xdr:rowOff>
    </xdr:from>
    <xdr:ext cx="1532282" cy="301487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B428104-F85A-4043-915D-2AF4447B2A0F}"/>
            </a:ext>
          </a:extLst>
        </xdr:cNvPr>
        <xdr:cNvSpPr txBox="1"/>
      </xdr:nvSpPr>
      <xdr:spPr>
        <a:xfrm>
          <a:off x="2578376" y="15575032"/>
          <a:ext cx="1532282" cy="30148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/>
            <a:t>Ясень шимо светлый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Ясень шимо темный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           Яблоня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             </a:t>
          </a:r>
          <a:r>
            <a:rPr lang="ru-RU" sz="1100" b="1">
              <a:solidFill>
                <a:schemeClr val="bg1"/>
              </a:solidFill>
            </a:rPr>
            <a:t>Венге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65943</xdr:colOff>
      <xdr:row>66</xdr:row>
      <xdr:rowOff>58615</xdr:rowOff>
    </xdr:from>
    <xdr:to>
      <xdr:col>21</xdr:col>
      <xdr:colOff>1974</xdr:colOff>
      <xdr:row>74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E68C752-68E1-48C0-8C4E-2CE081CA4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343" y="8221540"/>
          <a:ext cx="850431" cy="951035"/>
        </a:xfrm>
        <a:prstGeom prst="rect">
          <a:avLst/>
        </a:prstGeom>
      </xdr:spPr>
    </xdr:pic>
    <xdr:clientData/>
  </xdr:twoCellAnchor>
  <xdr:twoCellAnchor editAs="oneCell">
    <xdr:from>
      <xdr:col>23</xdr:col>
      <xdr:colOff>113366</xdr:colOff>
      <xdr:row>65</xdr:row>
      <xdr:rowOff>106039</xdr:rowOff>
    </xdr:from>
    <xdr:to>
      <xdr:col>31</xdr:col>
      <xdr:colOff>58616</xdr:colOff>
      <xdr:row>74</xdr:row>
      <xdr:rowOff>1514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9A1CFC1-693C-49FE-8CA5-3EDB78D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6516" y="8154664"/>
          <a:ext cx="859650" cy="924175"/>
        </a:xfrm>
        <a:prstGeom prst="rect">
          <a:avLst/>
        </a:prstGeom>
      </xdr:spPr>
    </xdr:pic>
    <xdr:clientData/>
  </xdr:twoCellAnchor>
  <xdr:twoCellAnchor editAs="oneCell">
    <xdr:from>
      <xdr:col>35</xdr:col>
      <xdr:colOff>8282</xdr:colOff>
      <xdr:row>22</xdr:row>
      <xdr:rowOff>33131</xdr:rowOff>
    </xdr:from>
    <xdr:to>
      <xdr:col>43</xdr:col>
      <xdr:colOff>57039</xdr:colOff>
      <xdr:row>32</xdr:row>
      <xdr:rowOff>16565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4B32478-BC2A-4AF9-8AE8-C3F23FC86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27782" y="3281156"/>
          <a:ext cx="963157" cy="1126433"/>
        </a:xfrm>
        <a:prstGeom prst="rect">
          <a:avLst/>
        </a:prstGeom>
      </xdr:spPr>
    </xdr:pic>
    <xdr:clientData/>
  </xdr:twoCellAnchor>
  <xdr:twoCellAnchor editAs="oneCell">
    <xdr:from>
      <xdr:col>34</xdr:col>
      <xdr:colOff>99391</xdr:colOff>
      <xdr:row>8</xdr:row>
      <xdr:rowOff>24849</xdr:rowOff>
    </xdr:from>
    <xdr:to>
      <xdr:col>43</xdr:col>
      <xdr:colOff>33131</xdr:colOff>
      <xdr:row>18</xdr:row>
      <xdr:rowOff>28792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7DF8610-493D-437D-9A5B-1F43A1796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04591" y="1767924"/>
          <a:ext cx="962440" cy="1146942"/>
        </a:xfrm>
        <a:prstGeom prst="rect">
          <a:avLst/>
        </a:prstGeom>
      </xdr:spPr>
    </xdr:pic>
    <xdr:clientData/>
  </xdr:twoCellAnchor>
  <xdr:twoCellAnchor editAs="oneCell">
    <xdr:from>
      <xdr:col>35</xdr:col>
      <xdr:colOff>66262</xdr:colOff>
      <xdr:row>38</xdr:row>
      <xdr:rowOff>33131</xdr:rowOff>
    </xdr:from>
    <xdr:to>
      <xdr:col>43</xdr:col>
      <xdr:colOff>16566</xdr:colOff>
      <xdr:row>47</xdr:row>
      <xdr:rowOff>25152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8DC3F91-CDC8-4546-A0B3-5635A0805A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5762" y="5186156"/>
          <a:ext cx="864704" cy="1020722"/>
        </a:xfrm>
        <a:prstGeom prst="rect">
          <a:avLst/>
        </a:prstGeom>
      </xdr:spPr>
    </xdr:pic>
    <xdr:clientData/>
  </xdr:twoCellAnchor>
  <xdr:twoCellAnchor editAs="oneCell">
    <xdr:from>
      <xdr:col>35</xdr:col>
      <xdr:colOff>57980</xdr:colOff>
      <xdr:row>52</xdr:row>
      <xdr:rowOff>16566</xdr:rowOff>
    </xdr:from>
    <xdr:to>
      <xdr:col>42</xdr:col>
      <xdr:colOff>60751</xdr:colOff>
      <xdr:row>60</xdr:row>
      <xdr:rowOff>57978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EF9FECA-F4BE-467D-9787-8F0B05F3AB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77480" y="6674541"/>
          <a:ext cx="802871" cy="955812"/>
        </a:xfrm>
        <a:prstGeom prst="rect">
          <a:avLst/>
        </a:prstGeom>
      </xdr:spPr>
    </xdr:pic>
    <xdr:clientData/>
  </xdr:twoCellAnchor>
  <xdr:twoCellAnchor editAs="oneCell">
    <xdr:from>
      <xdr:col>3</xdr:col>
      <xdr:colOff>99392</xdr:colOff>
      <xdr:row>8</xdr:row>
      <xdr:rowOff>24848</xdr:rowOff>
    </xdr:from>
    <xdr:to>
      <xdr:col>7</xdr:col>
      <xdr:colOff>41784</xdr:colOff>
      <xdr:row>18</xdr:row>
      <xdr:rowOff>24849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5F00D00-19CB-4F39-95DC-3824377EA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042" y="1767923"/>
          <a:ext cx="399592" cy="1143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66261</xdr:colOff>
      <xdr:row>8</xdr:row>
      <xdr:rowOff>16566</xdr:rowOff>
    </xdr:from>
    <xdr:to>
      <xdr:col>19</xdr:col>
      <xdr:colOff>99393</xdr:colOff>
      <xdr:row>18</xdr:row>
      <xdr:rowOff>25623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14E1653-E197-4C92-B1C1-AD9B9DD0D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5961" y="1759641"/>
          <a:ext cx="604632" cy="1152056"/>
        </a:xfrm>
        <a:prstGeom prst="rect">
          <a:avLst/>
        </a:prstGeom>
      </xdr:spPr>
    </xdr:pic>
    <xdr:clientData/>
  </xdr:twoCellAnchor>
  <xdr:twoCellAnchor editAs="oneCell">
    <xdr:from>
      <xdr:col>24</xdr:col>
      <xdr:colOff>49696</xdr:colOff>
      <xdr:row>8</xdr:row>
      <xdr:rowOff>49695</xdr:rowOff>
    </xdr:from>
    <xdr:to>
      <xdr:col>31</xdr:col>
      <xdr:colOff>1485</xdr:colOff>
      <xdr:row>18</xdr:row>
      <xdr:rowOff>16565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A91C319-D69F-43BA-8A92-43AB7C5741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07146" y="1792770"/>
          <a:ext cx="751889" cy="1109869"/>
        </a:xfrm>
        <a:prstGeom prst="rect">
          <a:avLst/>
        </a:prstGeom>
      </xdr:spPr>
    </xdr:pic>
    <xdr:clientData/>
  </xdr:twoCellAnchor>
  <xdr:twoCellAnchor editAs="oneCell">
    <xdr:from>
      <xdr:col>45</xdr:col>
      <xdr:colOff>82827</xdr:colOff>
      <xdr:row>8</xdr:row>
      <xdr:rowOff>33129</xdr:rowOff>
    </xdr:from>
    <xdr:to>
      <xdr:col>55</xdr:col>
      <xdr:colOff>8283</xdr:colOff>
      <xdr:row>18</xdr:row>
      <xdr:rowOff>48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01632CE-842D-483E-964F-F9365C54B3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0077" y="1776204"/>
          <a:ext cx="1097031" cy="1109918"/>
        </a:xfrm>
        <a:prstGeom prst="rect">
          <a:avLst/>
        </a:prstGeom>
      </xdr:spPr>
    </xdr:pic>
    <xdr:clientData/>
  </xdr:twoCellAnchor>
  <xdr:twoCellAnchor editAs="oneCell">
    <xdr:from>
      <xdr:col>57</xdr:col>
      <xdr:colOff>49695</xdr:colOff>
      <xdr:row>8</xdr:row>
      <xdr:rowOff>41413</xdr:rowOff>
    </xdr:from>
    <xdr:to>
      <xdr:col>68</xdr:col>
      <xdr:colOff>33130</xdr:colOff>
      <xdr:row>17</xdr:row>
      <xdr:rowOff>60410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78AB446-FFA0-4930-936B-F587B06CD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21870" y="1784488"/>
          <a:ext cx="1240735" cy="1047696"/>
        </a:xfrm>
        <a:prstGeom prst="rect">
          <a:avLst/>
        </a:prstGeom>
      </xdr:spPr>
    </xdr:pic>
    <xdr:clientData/>
  </xdr:twoCellAnchor>
  <xdr:twoCellAnchor editAs="oneCell">
    <xdr:from>
      <xdr:col>3</xdr:col>
      <xdr:colOff>107674</xdr:colOff>
      <xdr:row>22</xdr:row>
      <xdr:rowOff>16565</xdr:rowOff>
    </xdr:from>
    <xdr:to>
      <xdr:col>7</xdr:col>
      <xdr:colOff>21159</xdr:colOff>
      <xdr:row>32</xdr:row>
      <xdr:rowOff>8282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FEAFCBE-F03D-409D-B3CD-5581E8375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5324" y="3264590"/>
          <a:ext cx="370685" cy="1134716"/>
        </a:xfrm>
        <a:prstGeom prst="rect">
          <a:avLst/>
        </a:prstGeom>
      </xdr:spPr>
    </xdr:pic>
    <xdr:clientData/>
  </xdr:twoCellAnchor>
  <xdr:twoCellAnchor editAs="oneCell">
    <xdr:from>
      <xdr:col>14</xdr:col>
      <xdr:colOff>33131</xdr:colOff>
      <xdr:row>22</xdr:row>
      <xdr:rowOff>24847</xdr:rowOff>
    </xdr:from>
    <xdr:to>
      <xdr:col>19</xdr:col>
      <xdr:colOff>35094</xdr:colOff>
      <xdr:row>31</xdr:row>
      <xdr:rowOff>107674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D12DA9F-B08B-4D42-A678-5BD037A91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2831" y="3272872"/>
          <a:ext cx="573463" cy="1111526"/>
        </a:xfrm>
        <a:prstGeom prst="rect">
          <a:avLst/>
        </a:prstGeom>
      </xdr:spPr>
    </xdr:pic>
    <xdr:clientData/>
  </xdr:twoCellAnchor>
  <xdr:twoCellAnchor editAs="oneCell">
    <xdr:from>
      <xdr:col>24</xdr:col>
      <xdr:colOff>66260</xdr:colOff>
      <xdr:row>22</xdr:row>
      <xdr:rowOff>41415</xdr:rowOff>
    </xdr:from>
    <xdr:to>
      <xdr:col>30</xdr:col>
      <xdr:colOff>111162</xdr:colOff>
      <xdr:row>32</xdr:row>
      <xdr:rowOff>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9615ECD-4B5C-4D3B-9B1E-79463B6F88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23710" y="3289440"/>
          <a:ext cx="730702" cy="1101586"/>
        </a:xfrm>
        <a:prstGeom prst="rect">
          <a:avLst/>
        </a:prstGeom>
      </xdr:spPr>
    </xdr:pic>
    <xdr:clientData/>
  </xdr:twoCellAnchor>
  <xdr:twoCellAnchor editAs="oneCell">
    <xdr:from>
      <xdr:col>45</xdr:col>
      <xdr:colOff>107674</xdr:colOff>
      <xdr:row>22</xdr:row>
      <xdr:rowOff>16565</xdr:rowOff>
    </xdr:from>
    <xdr:to>
      <xdr:col>55</xdr:col>
      <xdr:colOff>64304</xdr:colOff>
      <xdr:row>32</xdr:row>
      <xdr:rowOff>16566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75ECA2F-E0DC-46F1-B69F-BACFD24E4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4924" y="3264590"/>
          <a:ext cx="1128205" cy="1143000"/>
        </a:xfrm>
        <a:prstGeom prst="rect">
          <a:avLst/>
        </a:prstGeom>
      </xdr:spPr>
    </xdr:pic>
    <xdr:clientData/>
  </xdr:twoCellAnchor>
  <xdr:twoCellAnchor editAs="oneCell">
    <xdr:from>
      <xdr:col>57</xdr:col>
      <xdr:colOff>33131</xdr:colOff>
      <xdr:row>22</xdr:row>
      <xdr:rowOff>24849</xdr:rowOff>
    </xdr:from>
    <xdr:to>
      <xdr:col>68</xdr:col>
      <xdr:colOff>82827</xdr:colOff>
      <xdr:row>32</xdr:row>
      <xdr:rowOff>2682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F305F6B3-0D71-469B-BBA9-91CD0C78B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5306" y="3272874"/>
          <a:ext cx="1306996" cy="1120832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38</xdr:row>
      <xdr:rowOff>16563</xdr:rowOff>
    </xdr:from>
    <xdr:to>
      <xdr:col>7</xdr:col>
      <xdr:colOff>8284</xdr:colOff>
      <xdr:row>47</xdr:row>
      <xdr:rowOff>25677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EAD5FAB-38FD-4F72-9DF7-50E7D17A0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8515" y="5169588"/>
          <a:ext cx="334619" cy="1037815"/>
        </a:xfrm>
        <a:prstGeom prst="rect">
          <a:avLst/>
        </a:prstGeom>
      </xdr:spPr>
    </xdr:pic>
    <xdr:clientData/>
  </xdr:twoCellAnchor>
  <xdr:twoCellAnchor editAs="oneCell">
    <xdr:from>
      <xdr:col>14</xdr:col>
      <xdr:colOff>74545</xdr:colOff>
      <xdr:row>38</xdr:row>
      <xdr:rowOff>16565</xdr:rowOff>
    </xdr:from>
    <xdr:to>
      <xdr:col>19</xdr:col>
      <xdr:colOff>24849</xdr:colOff>
      <xdr:row>46</xdr:row>
      <xdr:rowOff>107780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927BB06-689D-4A83-9233-59AB73136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4245" y="5169590"/>
          <a:ext cx="521804" cy="1005615"/>
        </a:xfrm>
        <a:prstGeom prst="rect">
          <a:avLst/>
        </a:prstGeom>
      </xdr:spPr>
    </xdr:pic>
    <xdr:clientData/>
  </xdr:twoCellAnchor>
  <xdr:twoCellAnchor editAs="oneCell">
    <xdr:from>
      <xdr:col>24</xdr:col>
      <xdr:colOff>99391</xdr:colOff>
      <xdr:row>38</xdr:row>
      <xdr:rowOff>24849</xdr:rowOff>
    </xdr:from>
    <xdr:to>
      <xdr:col>30</xdr:col>
      <xdr:colOff>101372</xdr:colOff>
      <xdr:row>47</xdr:row>
      <xdr:rowOff>16566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92CD767-441E-443E-A10D-2549A3039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6841" y="5177874"/>
          <a:ext cx="687781" cy="1020418"/>
        </a:xfrm>
        <a:prstGeom prst="rect">
          <a:avLst/>
        </a:prstGeom>
      </xdr:spPr>
    </xdr:pic>
    <xdr:clientData/>
  </xdr:twoCellAnchor>
  <xdr:twoCellAnchor editAs="oneCell">
    <xdr:from>
      <xdr:col>46</xdr:col>
      <xdr:colOff>8283</xdr:colOff>
      <xdr:row>38</xdr:row>
      <xdr:rowOff>41415</xdr:rowOff>
    </xdr:from>
    <xdr:to>
      <xdr:col>54</xdr:col>
      <xdr:colOff>84793</xdr:colOff>
      <xdr:row>47</xdr:row>
      <xdr:rowOff>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8D1ABF3-E148-4322-A0E8-7F554F644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9833" y="5194440"/>
          <a:ext cx="1019485" cy="987287"/>
        </a:xfrm>
        <a:prstGeom prst="rect">
          <a:avLst/>
        </a:prstGeom>
      </xdr:spPr>
    </xdr:pic>
    <xdr:clientData/>
  </xdr:twoCellAnchor>
  <xdr:twoCellAnchor editAs="oneCell">
    <xdr:from>
      <xdr:col>57</xdr:col>
      <xdr:colOff>57978</xdr:colOff>
      <xdr:row>38</xdr:row>
      <xdr:rowOff>49696</xdr:rowOff>
    </xdr:from>
    <xdr:to>
      <xdr:col>67</xdr:col>
      <xdr:colOff>107674</xdr:colOff>
      <xdr:row>47</xdr:row>
      <xdr:rowOff>20434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9E48603-4D69-4466-A7EA-10688B7C7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0153" y="5202721"/>
          <a:ext cx="1192696" cy="999439"/>
        </a:xfrm>
        <a:prstGeom prst="rect">
          <a:avLst/>
        </a:prstGeom>
      </xdr:spPr>
    </xdr:pic>
    <xdr:clientData/>
  </xdr:twoCellAnchor>
  <xdr:twoCellAnchor editAs="oneCell">
    <xdr:from>
      <xdr:col>45</xdr:col>
      <xdr:colOff>91109</xdr:colOff>
      <xdr:row>52</xdr:row>
      <xdr:rowOff>16566</xdr:rowOff>
    </xdr:from>
    <xdr:to>
      <xdr:col>54</xdr:col>
      <xdr:colOff>99392</xdr:colOff>
      <xdr:row>61</xdr:row>
      <xdr:rowOff>14509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48F7CF2-98EE-42C0-A223-AEED94A57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8359" y="6674541"/>
          <a:ext cx="1065558" cy="102664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16567</xdr:rowOff>
    </xdr:from>
    <xdr:to>
      <xdr:col>7</xdr:col>
      <xdr:colOff>24849</xdr:colOff>
      <xdr:row>61</xdr:row>
      <xdr:rowOff>15120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16E02E5-5C6D-41A2-85A1-A490979C16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1950" y="6674542"/>
          <a:ext cx="367749" cy="1027254"/>
        </a:xfrm>
        <a:prstGeom prst="rect">
          <a:avLst/>
        </a:prstGeom>
      </xdr:spPr>
    </xdr:pic>
    <xdr:clientData/>
  </xdr:twoCellAnchor>
  <xdr:twoCellAnchor editAs="oneCell">
    <xdr:from>
      <xdr:col>14</xdr:col>
      <xdr:colOff>66259</xdr:colOff>
      <xdr:row>52</xdr:row>
      <xdr:rowOff>24846</xdr:rowOff>
    </xdr:from>
    <xdr:to>
      <xdr:col>19</xdr:col>
      <xdr:colOff>16565</xdr:colOff>
      <xdr:row>61</xdr:row>
      <xdr:rowOff>13514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7015C4F-06C6-4274-96E9-D48824763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5959" y="6682821"/>
          <a:ext cx="521806" cy="1017369"/>
        </a:xfrm>
        <a:prstGeom prst="rect">
          <a:avLst/>
        </a:prstGeom>
      </xdr:spPr>
    </xdr:pic>
    <xdr:clientData/>
  </xdr:twoCellAnchor>
  <xdr:twoCellAnchor editAs="oneCell">
    <xdr:from>
      <xdr:col>24</xdr:col>
      <xdr:colOff>107673</xdr:colOff>
      <xdr:row>52</xdr:row>
      <xdr:rowOff>16565</xdr:rowOff>
    </xdr:from>
    <xdr:to>
      <xdr:col>31</xdr:col>
      <xdr:colOff>8283</xdr:colOff>
      <xdr:row>61</xdr:row>
      <xdr:rowOff>21323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2B4A09CC-82D3-433A-A0FD-10605334A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65123" y="6674540"/>
          <a:ext cx="700710" cy="1033459"/>
        </a:xfrm>
        <a:prstGeom prst="rect">
          <a:avLst/>
        </a:prstGeom>
      </xdr:spPr>
    </xdr:pic>
    <xdr:clientData/>
  </xdr:twoCellAnchor>
  <xdr:twoCellAnchor editAs="oneCell">
    <xdr:from>
      <xdr:col>57</xdr:col>
      <xdr:colOff>74544</xdr:colOff>
      <xdr:row>52</xdr:row>
      <xdr:rowOff>16566</xdr:rowOff>
    </xdr:from>
    <xdr:to>
      <xdr:col>68</xdr:col>
      <xdr:colOff>10479</xdr:colOff>
      <xdr:row>60</xdr:row>
      <xdr:rowOff>99391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1F34EC7-42B6-4AD8-A6B4-8C77E74E3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46719" y="6674541"/>
          <a:ext cx="1193235" cy="997225"/>
        </a:xfrm>
        <a:prstGeom prst="rect">
          <a:avLst/>
        </a:prstGeom>
      </xdr:spPr>
    </xdr:pic>
    <xdr:clientData/>
  </xdr:twoCellAnchor>
  <xdr:twoCellAnchor editAs="oneCell">
    <xdr:from>
      <xdr:col>3</xdr:col>
      <xdr:colOff>49699</xdr:colOff>
      <xdr:row>66</xdr:row>
      <xdr:rowOff>24849</xdr:rowOff>
    </xdr:from>
    <xdr:to>
      <xdr:col>9</xdr:col>
      <xdr:colOff>87311</xdr:colOff>
      <xdr:row>70</xdr:row>
      <xdr:rowOff>91109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E016BB65-8B6D-485A-95E9-ACDF95F08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349" y="8187774"/>
          <a:ext cx="723412" cy="523460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71</xdr:row>
      <xdr:rowOff>33132</xdr:rowOff>
    </xdr:from>
    <xdr:to>
      <xdr:col>10</xdr:col>
      <xdr:colOff>74543</xdr:colOff>
      <xdr:row>76</xdr:row>
      <xdr:rowOff>1999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7B2146E-CF06-4227-BB5F-CDF8C9656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8515" y="8767557"/>
          <a:ext cx="743778" cy="540366"/>
        </a:xfrm>
        <a:prstGeom prst="rect">
          <a:avLst/>
        </a:prstGeom>
      </xdr:spPr>
    </xdr:pic>
    <xdr:clientData/>
  </xdr:twoCellAnchor>
  <xdr:twoCellAnchor editAs="oneCell">
    <xdr:from>
      <xdr:col>37</xdr:col>
      <xdr:colOff>49697</xdr:colOff>
      <xdr:row>65</xdr:row>
      <xdr:rowOff>66260</xdr:rowOff>
    </xdr:from>
    <xdr:to>
      <xdr:col>43</xdr:col>
      <xdr:colOff>19052</xdr:colOff>
      <xdr:row>76</xdr:row>
      <xdr:rowOff>3312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E955CA8-5CC5-4A20-863F-F016734A5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97797" y="8114885"/>
          <a:ext cx="655155" cy="1194352"/>
        </a:xfrm>
        <a:prstGeom prst="rect">
          <a:avLst/>
        </a:prstGeom>
      </xdr:spPr>
    </xdr:pic>
    <xdr:clientData/>
  </xdr:twoCellAnchor>
  <xdr:twoCellAnchor editAs="oneCell">
    <xdr:from>
      <xdr:col>48</xdr:col>
      <xdr:colOff>49695</xdr:colOff>
      <xdr:row>65</xdr:row>
      <xdr:rowOff>91107</xdr:rowOff>
    </xdr:from>
    <xdr:to>
      <xdr:col>53</xdr:col>
      <xdr:colOff>78367</xdr:colOff>
      <xdr:row>75</xdr:row>
      <xdr:rowOff>107673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8C0336B-9262-4722-9E7F-C86C7F11E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59845" y="8139732"/>
          <a:ext cx="628747" cy="1159567"/>
        </a:xfrm>
        <a:prstGeom prst="rect">
          <a:avLst/>
        </a:prstGeom>
      </xdr:spPr>
    </xdr:pic>
    <xdr:clientData/>
  </xdr:twoCellAnchor>
  <xdr:twoCellAnchor editAs="oneCell">
    <xdr:from>
      <xdr:col>58</xdr:col>
      <xdr:colOff>49697</xdr:colOff>
      <xdr:row>66</xdr:row>
      <xdr:rowOff>24850</xdr:rowOff>
    </xdr:from>
    <xdr:to>
      <xdr:col>67</xdr:col>
      <xdr:colOff>85408</xdr:colOff>
      <xdr:row>75</xdr:row>
      <xdr:rowOff>107674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4EE194C-0DA2-4B43-AF99-58F44E2A7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36172" y="8187775"/>
          <a:ext cx="1064411" cy="1111525"/>
        </a:xfrm>
        <a:prstGeom prst="rect">
          <a:avLst/>
        </a:prstGeom>
      </xdr:spPr>
    </xdr:pic>
    <xdr:clientData/>
  </xdr:twoCellAnchor>
  <xdr:twoCellAnchor editAs="oneCell">
    <xdr:from>
      <xdr:col>1</xdr:col>
      <xdr:colOff>74544</xdr:colOff>
      <xdr:row>80</xdr:row>
      <xdr:rowOff>57978</xdr:rowOff>
    </xdr:from>
    <xdr:to>
      <xdr:col>10</xdr:col>
      <xdr:colOff>99391</xdr:colOff>
      <xdr:row>87</xdr:row>
      <xdr:rowOff>76856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557FB5E-EDAD-4C8B-9868-517AB59E0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94" y="9725853"/>
          <a:ext cx="1053547" cy="818979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81</xdr:row>
      <xdr:rowOff>107674</xdr:rowOff>
    </xdr:from>
    <xdr:to>
      <xdr:col>21</xdr:col>
      <xdr:colOff>107753</xdr:colOff>
      <xdr:row>87</xdr:row>
      <xdr:rowOff>8281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DAF6FD3-01F0-4C32-9F5C-1A907C65C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2513" y="9889849"/>
          <a:ext cx="1095040" cy="586408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24849</xdr:colOff>
      <xdr:row>81</xdr:row>
      <xdr:rowOff>74544</xdr:rowOff>
    </xdr:from>
    <xdr:to>
      <xdr:col>32</xdr:col>
      <xdr:colOff>74022</xdr:colOff>
      <xdr:row>86</xdr:row>
      <xdr:rowOff>74542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AA0D6F5A-09D7-46FA-8FA1-FA6A7D753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7999" y="9856719"/>
          <a:ext cx="1077873" cy="571498"/>
        </a:xfrm>
        <a:prstGeom prst="rect">
          <a:avLst/>
        </a:prstGeom>
      </xdr:spPr>
    </xdr:pic>
    <xdr:clientData/>
  </xdr:twoCellAnchor>
  <xdr:twoCellAnchor editAs="oneCell">
    <xdr:from>
      <xdr:col>36</xdr:col>
      <xdr:colOff>74543</xdr:colOff>
      <xdr:row>80</xdr:row>
      <xdr:rowOff>8285</xdr:rowOff>
    </xdr:from>
    <xdr:to>
      <xdr:col>41</xdr:col>
      <xdr:colOff>42600</xdr:colOff>
      <xdr:row>90</xdr:row>
      <xdr:rowOff>33131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10305D6-B1E3-4B9D-A0E8-B17AB281F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08343" y="9676160"/>
          <a:ext cx="539557" cy="1167846"/>
        </a:xfrm>
        <a:prstGeom prst="rect">
          <a:avLst/>
        </a:prstGeom>
      </xdr:spPr>
    </xdr:pic>
    <xdr:clientData/>
  </xdr:twoCellAnchor>
  <xdr:twoCellAnchor editAs="oneCell">
    <xdr:from>
      <xdr:col>46</xdr:col>
      <xdr:colOff>8282</xdr:colOff>
      <xdr:row>80</xdr:row>
      <xdr:rowOff>33130</xdr:rowOff>
    </xdr:from>
    <xdr:to>
      <xdr:col>54</xdr:col>
      <xdr:colOff>107674</xdr:colOff>
      <xdr:row>90</xdr:row>
      <xdr:rowOff>5687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A18AC7C-54D9-4520-B236-AEF956D39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9832" y="9701005"/>
          <a:ext cx="1042367" cy="1115557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24848</xdr:colOff>
      <xdr:row>80</xdr:row>
      <xdr:rowOff>16566</xdr:rowOff>
    </xdr:from>
    <xdr:to>
      <xdr:col>68</xdr:col>
      <xdr:colOff>33130</xdr:colOff>
      <xdr:row>90</xdr:row>
      <xdr:rowOff>10607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EB8B9FD-5215-4C86-9F56-7A33DEE9A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11323" y="9684441"/>
          <a:ext cx="1151282" cy="1137041"/>
        </a:xfrm>
        <a:prstGeom prst="rect">
          <a:avLst/>
        </a:prstGeom>
      </xdr:spPr>
    </xdr:pic>
    <xdr:clientData/>
  </xdr:twoCellAnchor>
  <xdr:twoCellAnchor editAs="oneCell">
    <xdr:from>
      <xdr:col>65</xdr:col>
      <xdr:colOff>3031</xdr:colOff>
      <xdr:row>0</xdr:row>
      <xdr:rowOff>633726</xdr:rowOff>
    </xdr:from>
    <xdr:to>
      <xdr:col>68</xdr:col>
      <xdr:colOff>207782</xdr:colOff>
      <xdr:row>1</xdr:row>
      <xdr:rowOff>57841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FC552B4-B774-4106-8653-8D9C2B2B2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18134">
          <a:off x="6968705" y="633726"/>
          <a:ext cx="551792" cy="575398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0</xdr:row>
      <xdr:rowOff>171452</xdr:rowOff>
    </xdr:from>
    <xdr:to>
      <xdr:col>50</xdr:col>
      <xdr:colOff>47625</xdr:colOff>
      <xdr:row>0</xdr:row>
      <xdr:rowOff>1076740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3DCBFF2-D890-4C8D-BB19-6364CD8C2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3197" y="171452"/>
          <a:ext cx="3891583" cy="90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45580</xdr:colOff>
      <xdr:row>93</xdr:row>
      <xdr:rowOff>74033</xdr:rowOff>
    </xdr:from>
    <xdr:to>
      <xdr:col>51</xdr:col>
      <xdr:colOff>15738</xdr:colOff>
      <xdr:row>93</xdr:row>
      <xdr:rowOff>876300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7A57181-DD17-4E57-8CC2-889254FFA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1780" y="11723108"/>
          <a:ext cx="1913258" cy="802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29134</xdr:colOff>
      <xdr:row>94</xdr:row>
      <xdr:rowOff>15031</xdr:rowOff>
    </xdr:from>
    <xdr:to>
      <xdr:col>51</xdr:col>
      <xdr:colOff>11595</xdr:colOff>
      <xdr:row>94</xdr:row>
      <xdr:rowOff>819151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ADAB1059-837D-4C1F-8578-C50E0748B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5334" y="12549931"/>
          <a:ext cx="1925561" cy="80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36980</xdr:colOff>
      <xdr:row>94</xdr:row>
      <xdr:rowOff>861391</xdr:rowOff>
    </xdr:from>
    <xdr:to>
      <xdr:col>51</xdr:col>
      <xdr:colOff>21120</xdr:colOff>
      <xdr:row>95</xdr:row>
      <xdr:rowOff>819150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45F042E9-ACE5-4004-9921-F4EBF352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3180" y="13396291"/>
          <a:ext cx="1927240" cy="843584"/>
        </a:xfrm>
        <a:prstGeom prst="rect">
          <a:avLst/>
        </a:prstGeom>
      </xdr:spPr>
    </xdr:pic>
    <xdr:clientData/>
  </xdr:twoCellAnchor>
  <xdr:twoCellAnchor editAs="oneCell">
    <xdr:from>
      <xdr:col>34</xdr:col>
      <xdr:colOff>38659</xdr:colOff>
      <xdr:row>95</xdr:row>
      <xdr:rowOff>877958</xdr:rowOff>
    </xdr:from>
    <xdr:to>
      <xdr:col>51</xdr:col>
      <xdr:colOff>30645</xdr:colOff>
      <xdr:row>96</xdr:row>
      <xdr:rowOff>857250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E48A0E06-3983-488F-83DE-F2D4BD09D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4859" y="14298683"/>
          <a:ext cx="1935086" cy="86511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94</xdr:row>
      <xdr:rowOff>24847</xdr:rowOff>
    </xdr:from>
    <xdr:to>
      <xdr:col>17</xdr:col>
      <xdr:colOff>104775</xdr:colOff>
      <xdr:row>94</xdr:row>
      <xdr:rowOff>866775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4E404B88-C3A5-403A-90D4-5499F074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2559747"/>
          <a:ext cx="1876425" cy="841928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95</xdr:row>
      <xdr:rowOff>0</xdr:rowOff>
    </xdr:from>
    <xdr:to>
      <xdr:col>17</xdr:col>
      <xdr:colOff>85725</xdr:colOff>
      <xdr:row>96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A5966690-10D8-40DF-BC72-F7F87C784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4" y="13420725"/>
          <a:ext cx="1868141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25676</xdr:colOff>
      <xdr:row>93</xdr:row>
      <xdr:rowOff>65849</xdr:rowOff>
    </xdr:from>
    <xdr:to>
      <xdr:col>17</xdr:col>
      <xdr:colOff>102290</xdr:colOff>
      <xdr:row>94</xdr:row>
      <xdr:rowOff>9525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C8C3B652-4FC1-46D6-AD2C-E5155DA83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26" y="11714924"/>
          <a:ext cx="1867314" cy="829501"/>
        </a:xfrm>
        <a:prstGeom prst="rect">
          <a:avLst/>
        </a:prstGeom>
      </xdr:spPr>
    </xdr:pic>
    <xdr:clientData/>
  </xdr:twoCellAnchor>
  <xdr:twoCellAnchor editAs="oneCell">
    <xdr:from>
      <xdr:col>18</xdr:col>
      <xdr:colOff>27333</xdr:colOff>
      <xdr:row>93</xdr:row>
      <xdr:rowOff>66675</xdr:rowOff>
    </xdr:from>
    <xdr:to>
      <xdr:col>35</xdr:col>
      <xdr:colOff>95250</xdr:colOff>
      <xdr:row>93</xdr:row>
      <xdr:rowOff>857250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4A62344-40D6-44B8-BC0E-A8781BF49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583" y="11715750"/>
          <a:ext cx="1991967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94</xdr:row>
      <xdr:rowOff>9526</xdr:rowOff>
    </xdr:from>
    <xdr:to>
      <xdr:col>35</xdr:col>
      <xdr:colOff>95250</xdr:colOff>
      <xdr:row>94</xdr:row>
      <xdr:rowOff>828675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20BC0DD9-2E34-4400-90E2-70B3742C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12544426"/>
          <a:ext cx="1990725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96</xdr:row>
      <xdr:rowOff>19050</xdr:rowOff>
    </xdr:from>
    <xdr:to>
      <xdr:col>17</xdr:col>
      <xdr:colOff>104776</xdr:colOff>
      <xdr:row>97</xdr:row>
      <xdr:rowOff>9524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9C33EF58-FD8F-4899-899C-E2B38113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14325600"/>
          <a:ext cx="1885950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97</xdr:row>
      <xdr:rowOff>47625</xdr:rowOff>
    </xdr:from>
    <xdr:to>
      <xdr:col>18</xdr:col>
      <xdr:colOff>0</xdr:colOff>
      <xdr:row>97</xdr:row>
      <xdr:rowOff>876300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A98651CC-35BC-45AC-8EBB-135F84C6E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15240000"/>
          <a:ext cx="1895474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98</xdr:row>
      <xdr:rowOff>9526</xdr:rowOff>
    </xdr:from>
    <xdr:to>
      <xdr:col>18</xdr:col>
      <xdr:colOff>1</xdr:colOff>
      <xdr:row>98</xdr:row>
      <xdr:rowOff>847726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1F3B3943-CEE1-434C-BFE1-1B33A426D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16135351"/>
          <a:ext cx="1885950" cy="8382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94</xdr:row>
      <xdr:rowOff>857249</xdr:rowOff>
    </xdr:from>
    <xdr:to>
      <xdr:col>35</xdr:col>
      <xdr:colOff>86967</xdr:colOff>
      <xdr:row>95</xdr:row>
      <xdr:rowOff>828675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3B70792-7710-4AD0-8C77-E8FA118AB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13392149"/>
          <a:ext cx="1982442" cy="857251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95</xdr:row>
      <xdr:rowOff>833643</xdr:rowOff>
    </xdr:from>
    <xdr:to>
      <xdr:col>35</xdr:col>
      <xdr:colOff>86967</xdr:colOff>
      <xdr:row>96</xdr:row>
      <xdr:rowOff>866775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B74C2F9-5B4C-4F95-BA80-5A79F10F9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0" y="14254368"/>
          <a:ext cx="1991967" cy="918957"/>
        </a:xfrm>
        <a:prstGeom prst="rect">
          <a:avLst/>
        </a:prstGeom>
      </xdr:spPr>
    </xdr:pic>
    <xdr:clientData/>
  </xdr:twoCellAnchor>
  <xdr:oneCellAnchor>
    <xdr:from>
      <xdr:col>35</xdr:col>
      <xdr:colOff>49697</xdr:colOff>
      <xdr:row>93</xdr:row>
      <xdr:rowOff>207064</xdr:rowOff>
    </xdr:from>
    <xdr:ext cx="1706218" cy="595864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5583CC5-2479-4595-BDBB-148C552649C4}"/>
            </a:ext>
          </a:extLst>
        </xdr:cNvPr>
        <xdr:cNvSpPr txBox="1"/>
      </xdr:nvSpPr>
      <xdr:spPr>
        <a:xfrm>
          <a:off x="4050197" y="11856139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/>
            <a:t>Красный</a:t>
          </a:r>
          <a:br>
            <a:rPr lang="ru-RU" sz="1100"/>
          </a:br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oneCellAnchor>
    <xdr:from>
      <xdr:col>35</xdr:col>
      <xdr:colOff>3313</xdr:colOff>
      <xdr:row>94</xdr:row>
      <xdr:rowOff>177248</xdr:rowOff>
    </xdr:from>
    <xdr:ext cx="1706218" cy="595864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69346D99-3454-4C1F-8ED7-59002F57A36F}"/>
            </a:ext>
          </a:extLst>
        </xdr:cNvPr>
        <xdr:cNvSpPr txBox="1"/>
      </xdr:nvSpPr>
      <xdr:spPr>
        <a:xfrm>
          <a:off x="4003813" y="12712148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/>
            <a:t>Синий</a:t>
          </a:r>
          <a:br>
            <a:rPr lang="ru-RU" sz="1100"/>
          </a:br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oneCellAnchor>
    <xdr:from>
      <xdr:col>35</xdr:col>
      <xdr:colOff>12568</xdr:colOff>
      <xdr:row>95</xdr:row>
      <xdr:rowOff>205529</xdr:rowOff>
    </xdr:from>
    <xdr:ext cx="1706218" cy="595864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65E5CCB-BD04-43CC-9561-DECF77F73DD3}"/>
            </a:ext>
          </a:extLst>
        </xdr:cNvPr>
        <xdr:cNvSpPr txBox="1"/>
      </xdr:nvSpPr>
      <xdr:spPr>
        <a:xfrm>
          <a:off x="4013068" y="13626254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/>
            <a:t>Желтый</a:t>
          </a:r>
        </a:p>
        <a:p>
          <a:pPr algn="ctr"/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oneCellAnchor>
    <xdr:from>
      <xdr:col>35</xdr:col>
      <xdr:colOff>32448</xdr:colOff>
      <xdr:row>96</xdr:row>
      <xdr:rowOff>167430</xdr:rowOff>
    </xdr:from>
    <xdr:ext cx="1706218" cy="595864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0BF525C-870A-4AD8-9895-0E4620DC5CCD}"/>
            </a:ext>
          </a:extLst>
        </xdr:cNvPr>
        <xdr:cNvSpPr txBox="1"/>
      </xdr:nvSpPr>
      <xdr:spPr>
        <a:xfrm>
          <a:off x="4032948" y="14473980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ru-RU" sz="1100" b="1"/>
            <a:t>Зеленый</a:t>
          </a:r>
          <a:br>
            <a:rPr lang="ru-RU" sz="1100"/>
          </a:br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twoCellAnchor editAs="oneCell">
    <xdr:from>
      <xdr:col>22</xdr:col>
      <xdr:colOff>3727</xdr:colOff>
      <xdr:row>97</xdr:row>
      <xdr:rowOff>207067</xdr:rowOff>
    </xdr:from>
    <xdr:to>
      <xdr:col>47</xdr:col>
      <xdr:colOff>30645</xdr:colOff>
      <xdr:row>98</xdr:row>
      <xdr:rowOff>847726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76426B59-98BC-42FC-8E72-FBF8ABA5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227" y="15447067"/>
          <a:ext cx="2770118" cy="1526484"/>
        </a:xfrm>
        <a:prstGeom prst="rect">
          <a:avLst/>
        </a:prstGeom>
      </xdr:spPr>
    </xdr:pic>
    <xdr:clientData/>
  </xdr:twoCellAnchor>
  <xdr:oneCellAnchor>
    <xdr:from>
      <xdr:col>6</xdr:col>
      <xdr:colOff>67091</xdr:colOff>
      <xdr:row>93</xdr:row>
      <xdr:rowOff>314326</xdr:rowOff>
    </xdr:from>
    <xdr:ext cx="1706218" cy="4953411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D9203B8C-F456-4ACC-BDD7-8C81353771C3}"/>
            </a:ext>
          </a:extLst>
        </xdr:cNvPr>
        <xdr:cNvSpPr txBox="1"/>
      </xdr:nvSpPr>
      <xdr:spPr>
        <a:xfrm>
          <a:off x="657641" y="11963401"/>
          <a:ext cx="1706218" cy="49534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Бук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Пепельный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Ольха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Дуб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Орех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Вишня</a:t>
          </a:r>
        </a:p>
      </xdr:txBody>
    </xdr:sp>
    <xdr:clientData/>
  </xdr:oneCellAnchor>
  <xdr:oneCellAnchor>
    <xdr:from>
      <xdr:col>19</xdr:col>
      <xdr:colOff>82826</xdr:colOff>
      <xdr:row>93</xdr:row>
      <xdr:rowOff>306457</xdr:rowOff>
    </xdr:from>
    <xdr:ext cx="1532282" cy="301487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C85809E-68E5-440C-A2C5-EF6697697596}"/>
            </a:ext>
          </a:extLst>
        </xdr:cNvPr>
        <xdr:cNvSpPr txBox="1"/>
      </xdr:nvSpPr>
      <xdr:spPr>
        <a:xfrm>
          <a:off x="2197376" y="11955532"/>
          <a:ext cx="1532282" cy="30148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/>
            <a:t>Ясень шимо светлый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Ясень шимо темный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           Яблоня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             </a:t>
          </a:r>
          <a:r>
            <a:rPr lang="ru-RU" sz="1100" b="1">
              <a:solidFill>
                <a:schemeClr val="bg1"/>
              </a:solidFill>
            </a:rPr>
            <a:t>Венге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32655</xdr:colOff>
      <xdr:row>8</xdr:row>
      <xdr:rowOff>51617</xdr:rowOff>
    </xdr:from>
    <xdr:to>
      <xdr:col>15</xdr:col>
      <xdr:colOff>12928</xdr:colOff>
      <xdr:row>16</xdr:row>
      <xdr:rowOff>108858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20BC4A3-1939-4933-A0E5-FDF1415F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5" y="1480367"/>
          <a:ext cx="1663299" cy="971641"/>
        </a:xfrm>
        <a:prstGeom prst="rect">
          <a:avLst/>
        </a:prstGeom>
      </xdr:spPr>
    </xdr:pic>
    <xdr:clientData/>
  </xdr:twoCellAnchor>
  <xdr:twoCellAnchor editAs="oneCell">
    <xdr:from>
      <xdr:col>51</xdr:col>
      <xdr:colOff>64504</xdr:colOff>
      <xdr:row>8</xdr:row>
      <xdr:rowOff>38102</xdr:rowOff>
    </xdr:from>
    <xdr:to>
      <xdr:col>58</xdr:col>
      <xdr:colOff>108857</xdr:colOff>
      <xdr:row>18</xdr:row>
      <xdr:rowOff>32258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F2A0746-8E8C-488C-8F7E-EAD561B8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7554" y="1466852"/>
          <a:ext cx="844452" cy="1137155"/>
        </a:xfrm>
        <a:prstGeom prst="rect">
          <a:avLst/>
        </a:prstGeom>
      </xdr:spPr>
    </xdr:pic>
    <xdr:clientData/>
  </xdr:twoCellAnchor>
  <xdr:twoCellAnchor editAs="oneCell">
    <xdr:from>
      <xdr:col>59</xdr:col>
      <xdr:colOff>32502</xdr:colOff>
      <xdr:row>13</xdr:row>
      <xdr:rowOff>9949</xdr:rowOff>
    </xdr:from>
    <xdr:to>
      <xdr:col>66</xdr:col>
      <xdr:colOff>43276</xdr:colOff>
      <xdr:row>21</xdr:row>
      <xdr:rowOff>54431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26DA0C8-BAA0-4149-BBA9-DC7757825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9952" y="2010199"/>
          <a:ext cx="877549" cy="958883"/>
        </a:xfrm>
        <a:prstGeom prst="rect">
          <a:avLst/>
        </a:prstGeom>
      </xdr:spPr>
    </xdr:pic>
    <xdr:clientData/>
  </xdr:twoCellAnchor>
  <xdr:twoCellAnchor editAs="oneCell">
    <xdr:from>
      <xdr:col>17</xdr:col>
      <xdr:colOff>31027</xdr:colOff>
      <xdr:row>9</xdr:row>
      <xdr:rowOff>22277</xdr:rowOff>
    </xdr:from>
    <xdr:to>
      <xdr:col>31</xdr:col>
      <xdr:colOff>66853</xdr:colOff>
      <xdr:row>18</xdr:row>
      <xdr:rowOff>26032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9DB1A45-29A9-447B-BE42-272B1E8EE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627" y="1565327"/>
          <a:ext cx="1678682" cy="1032455"/>
        </a:xfrm>
        <a:prstGeom prst="rect">
          <a:avLst/>
        </a:prstGeom>
      </xdr:spPr>
    </xdr:pic>
    <xdr:clientData/>
  </xdr:twoCellAnchor>
  <xdr:twoCellAnchor editAs="oneCell">
    <xdr:from>
      <xdr:col>35</xdr:col>
      <xdr:colOff>45232</xdr:colOff>
      <xdr:row>7</xdr:row>
      <xdr:rowOff>98535</xdr:rowOff>
    </xdr:from>
    <xdr:to>
      <xdr:col>47</xdr:col>
      <xdr:colOff>91540</xdr:colOff>
      <xdr:row>18</xdr:row>
      <xdr:rowOff>105104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C5B846B-09A3-448F-8495-27175E05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2357" y="1412985"/>
          <a:ext cx="1446483" cy="1263869"/>
        </a:xfrm>
        <a:prstGeom prst="rect">
          <a:avLst/>
        </a:prstGeom>
      </xdr:spPr>
    </xdr:pic>
    <xdr:clientData/>
  </xdr:twoCellAnchor>
  <xdr:twoCellAnchor editAs="oneCell">
    <xdr:from>
      <xdr:col>3</xdr:col>
      <xdr:colOff>90538</xdr:colOff>
      <xdr:row>44</xdr:row>
      <xdr:rowOff>51125</xdr:rowOff>
    </xdr:from>
    <xdr:to>
      <xdr:col>12</xdr:col>
      <xdr:colOff>193355</xdr:colOff>
      <xdr:row>55</xdr:row>
      <xdr:rowOff>4798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A23D327-12CF-4861-A905-87472C97E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88" y="5413700"/>
          <a:ext cx="1129861" cy="1210972"/>
        </a:xfrm>
        <a:prstGeom prst="rect">
          <a:avLst/>
        </a:prstGeom>
      </xdr:spPr>
    </xdr:pic>
    <xdr:clientData/>
  </xdr:twoCellAnchor>
  <xdr:twoCellAnchor editAs="oneCell">
    <xdr:from>
      <xdr:col>17</xdr:col>
      <xdr:colOff>56801</xdr:colOff>
      <xdr:row>27</xdr:row>
      <xdr:rowOff>113905</xdr:rowOff>
    </xdr:from>
    <xdr:to>
      <xdr:col>31</xdr:col>
      <xdr:colOff>61434</xdr:colOff>
      <xdr:row>37</xdr:row>
      <xdr:rowOff>96820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DA447CB-2BA4-496B-A00F-5971E135E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401" y="3619105"/>
          <a:ext cx="1647489" cy="1125916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105104</xdr:colOff>
      <xdr:row>27</xdr:row>
      <xdr:rowOff>19580</xdr:rowOff>
    </xdr:from>
    <xdr:to>
      <xdr:col>13</xdr:col>
      <xdr:colOff>79113</xdr:colOff>
      <xdr:row>36</xdr:row>
      <xdr:rowOff>107775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AAA5AF6-DEB0-41D0-BF0A-565C2371A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24154" y="3524780"/>
          <a:ext cx="1426779" cy="1116895"/>
        </a:xfrm>
        <a:prstGeom prst="rect">
          <a:avLst/>
        </a:prstGeom>
      </xdr:spPr>
    </xdr:pic>
    <xdr:clientData/>
  </xdr:twoCellAnchor>
  <xdr:twoCellAnchor editAs="oneCell">
    <xdr:from>
      <xdr:col>24</xdr:col>
      <xdr:colOff>52552</xdr:colOff>
      <xdr:row>61</xdr:row>
      <xdr:rowOff>85397</xdr:rowOff>
    </xdr:from>
    <xdr:to>
      <xdr:col>42</xdr:col>
      <xdr:colOff>101702</xdr:colOff>
      <xdr:row>74</xdr:row>
      <xdr:rowOff>110954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A8C8709-B6C9-4E15-8DAB-115E447D4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7627" y="7295822"/>
          <a:ext cx="2133882" cy="1511458"/>
        </a:xfrm>
        <a:prstGeom prst="rect">
          <a:avLst/>
        </a:prstGeom>
      </xdr:spPr>
    </xdr:pic>
    <xdr:clientData/>
  </xdr:twoCellAnchor>
  <xdr:twoCellAnchor editAs="oneCell">
    <xdr:from>
      <xdr:col>36</xdr:col>
      <xdr:colOff>56031</xdr:colOff>
      <xdr:row>44</xdr:row>
      <xdr:rowOff>30218</xdr:rowOff>
    </xdr:from>
    <xdr:to>
      <xdr:col>46</xdr:col>
      <xdr:colOff>62377</xdr:colOff>
      <xdr:row>55</xdr:row>
      <xdr:rowOff>34558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E053A2F-7553-40C5-8D84-5FA93AEE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456" y="5392793"/>
          <a:ext cx="1177921" cy="1261639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</xdr:colOff>
      <xdr:row>44</xdr:row>
      <xdr:rowOff>23135</xdr:rowOff>
    </xdr:from>
    <xdr:to>
      <xdr:col>29</xdr:col>
      <xdr:colOff>47952</xdr:colOff>
      <xdr:row>55</xdr:row>
      <xdr:rowOff>34878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F212278-186B-4DC9-9BBA-9E66BE7B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057" y="5385710"/>
          <a:ext cx="1197620" cy="1269042"/>
        </a:xfrm>
        <a:prstGeom prst="rect">
          <a:avLst/>
        </a:prstGeom>
      </xdr:spPr>
    </xdr:pic>
    <xdr:clientData/>
  </xdr:twoCellAnchor>
  <xdr:twoCellAnchor editAs="oneCell">
    <xdr:from>
      <xdr:col>3</xdr:col>
      <xdr:colOff>8283</xdr:colOff>
      <xdr:row>61</xdr:row>
      <xdr:rowOff>0</xdr:rowOff>
    </xdr:from>
    <xdr:to>
      <xdr:col>16</xdr:col>
      <xdr:colOff>15651</xdr:colOff>
      <xdr:row>74</xdr:row>
      <xdr:rowOff>62961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3D7A91D-285B-4965-B4FC-E2403C5CF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933" y="7210425"/>
          <a:ext cx="1774049" cy="1548862"/>
        </a:xfrm>
        <a:prstGeom prst="rect">
          <a:avLst/>
        </a:prstGeom>
      </xdr:spPr>
    </xdr:pic>
    <xdr:clientData/>
  </xdr:twoCellAnchor>
  <xdr:twoCellAnchor editAs="oneCell">
    <xdr:from>
      <xdr:col>1</xdr:col>
      <xdr:colOff>39807</xdr:colOff>
      <xdr:row>80</xdr:row>
      <xdr:rowOff>24847</xdr:rowOff>
    </xdr:from>
    <xdr:to>
      <xdr:col>19</xdr:col>
      <xdr:colOff>20910</xdr:colOff>
      <xdr:row>91</xdr:row>
      <xdr:rowOff>97321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D7AFC33-C149-4BC3-B446-55EDFF95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57" y="9311722"/>
          <a:ext cx="2219478" cy="1329774"/>
        </a:xfrm>
        <a:prstGeom prst="rect">
          <a:avLst/>
        </a:prstGeom>
      </xdr:spPr>
    </xdr:pic>
    <xdr:clientData/>
  </xdr:twoCellAnchor>
  <xdr:twoCellAnchor editAs="oneCell">
    <xdr:from>
      <xdr:col>48</xdr:col>
      <xdr:colOff>42325</xdr:colOff>
      <xdr:row>61</xdr:row>
      <xdr:rowOff>16564</xdr:rowOff>
    </xdr:from>
    <xdr:to>
      <xdr:col>64</xdr:col>
      <xdr:colOff>55339</xdr:colOff>
      <xdr:row>74</xdr:row>
      <xdr:rowOff>77526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D4ADA3D-78AC-48DF-9C5B-E3F5A19F1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7725" y="7226989"/>
          <a:ext cx="1771412" cy="1546863"/>
        </a:xfrm>
        <a:prstGeom prst="rect">
          <a:avLst/>
        </a:prstGeom>
      </xdr:spPr>
    </xdr:pic>
    <xdr:clientData/>
  </xdr:twoCellAnchor>
  <xdr:twoCellAnchor editAs="oneCell">
    <xdr:from>
      <xdr:col>53</xdr:col>
      <xdr:colOff>31886</xdr:colOff>
      <xdr:row>44</xdr:row>
      <xdr:rowOff>16565</xdr:rowOff>
    </xdr:from>
    <xdr:to>
      <xdr:col>64</xdr:col>
      <xdr:colOff>44535</xdr:colOff>
      <xdr:row>56</xdr:row>
      <xdr:rowOff>89244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131F17C-6BBD-441A-9286-248EEE91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536" y="5379140"/>
          <a:ext cx="1269949" cy="1444279"/>
        </a:xfrm>
        <a:prstGeom prst="rect">
          <a:avLst/>
        </a:prstGeom>
      </xdr:spPr>
    </xdr:pic>
    <xdr:clientData/>
  </xdr:twoCellAnchor>
  <xdr:twoCellAnchor editAs="oneCell">
    <xdr:from>
      <xdr:col>47</xdr:col>
      <xdr:colOff>12502</xdr:colOff>
      <xdr:row>80</xdr:row>
      <xdr:rowOff>24848</xdr:rowOff>
    </xdr:from>
    <xdr:to>
      <xdr:col>65</xdr:col>
      <xdr:colOff>141047</xdr:colOff>
      <xdr:row>91</xdr:row>
      <xdr:rowOff>24847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0BFAB67-A4FB-4350-87E9-953AD47A7A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3602" y="9311723"/>
          <a:ext cx="2147431" cy="1257299"/>
        </a:xfrm>
        <a:prstGeom prst="rect">
          <a:avLst/>
        </a:prstGeom>
      </xdr:spPr>
    </xdr:pic>
    <xdr:clientData/>
  </xdr:twoCellAnchor>
  <xdr:twoCellAnchor editAs="oneCell">
    <xdr:from>
      <xdr:col>34</xdr:col>
      <xdr:colOff>16565</xdr:colOff>
      <xdr:row>26</xdr:row>
      <xdr:rowOff>33131</xdr:rowOff>
    </xdr:from>
    <xdr:to>
      <xdr:col>65</xdr:col>
      <xdr:colOff>125896</xdr:colOff>
      <xdr:row>39</xdr:row>
      <xdr:rowOff>107673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79598ED-03EF-4EA9-B4D0-0F53A5647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biLevel thresh="75000"/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69390" y="3424031"/>
          <a:ext cx="3639379" cy="1560442"/>
        </a:xfrm>
        <a:prstGeom prst="rect">
          <a:avLst/>
        </a:prstGeom>
      </xdr:spPr>
    </xdr:pic>
    <xdr:clientData/>
  </xdr:twoCellAnchor>
  <xdr:twoCellAnchor editAs="oneCell">
    <xdr:from>
      <xdr:col>23</xdr:col>
      <xdr:colOff>49695</xdr:colOff>
      <xdr:row>80</xdr:row>
      <xdr:rowOff>82826</xdr:rowOff>
    </xdr:from>
    <xdr:to>
      <xdr:col>43</xdr:col>
      <xdr:colOff>132520</xdr:colOff>
      <xdr:row>91</xdr:row>
      <xdr:rowOff>11300</xdr:rowOff>
    </xdr:to>
    <xdr:pic>
      <xdr:nvPicPr>
        <xdr:cNvPr id="20" name="Рисунок 19" descr="Ð¡ÑÐµÐ½ÐºÐ° Â«ÐÐµÑÐµÐ²ÐµÐ½ÑÐºÐ°Â»">
          <a:extLst>
            <a:ext uri="{FF2B5EF4-FFF2-40B4-BE49-F238E27FC236}">
              <a16:creationId xmlns:a16="http://schemas.microsoft.com/office/drawing/2014/main" id="{A3D7CD75-66E3-4C18-B11D-E769D71CB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40470" y="9369701"/>
          <a:ext cx="2394088" cy="1185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65</xdr:col>
      <xdr:colOff>106949</xdr:colOff>
      <xdr:row>0</xdr:row>
      <xdr:rowOff>707749</xdr:rowOff>
    </xdr:from>
    <xdr:to>
      <xdr:col>68</xdr:col>
      <xdr:colOff>166754</xdr:colOff>
      <xdr:row>2</xdr:row>
      <xdr:rowOff>42645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79F120B-141C-40AF-AF9B-ED8990689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18134">
          <a:off x="7536449" y="707749"/>
          <a:ext cx="545580" cy="639821"/>
        </a:xfrm>
        <a:prstGeom prst="rect">
          <a:avLst/>
        </a:prstGeom>
      </xdr:spPr>
    </xdr:pic>
    <xdr:clientData/>
  </xdr:twoCellAnchor>
  <xdr:twoCellAnchor editAs="oneCell">
    <xdr:from>
      <xdr:col>17</xdr:col>
      <xdr:colOff>2485</xdr:colOff>
      <xdr:row>0</xdr:row>
      <xdr:rowOff>171452</xdr:rowOff>
    </xdr:from>
    <xdr:to>
      <xdr:col>49</xdr:col>
      <xdr:colOff>130451</xdr:colOff>
      <xdr:row>0</xdr:row>
      <xdr:rowOff>1027043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A717047-74BF-437F-85D0-0E0981CB7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4963" y="171452"/>
          <a:ext cx="3892826" cy="855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45580</xdr:colOff>
      <xdr:row>96</xdr:row>
      <xdr:rowOff>74033</xdr:rowOff>
    </xdr:from>
    <xdr:to>
      <xdr:col>51</xdr:col>
      <xdr:colOff>53838</xdr:colOff>
      <xdr:row>96</xdr:row>
      <xdr:rowOff>876300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C9D9B09-CDAC-4472-AFE2-64798C054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9380" y="11770733"/>
          <a:ext cx="1913258" cy="802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29134</xdr:colOff>
      <xdr:row>97</xdr:row>
      <xdr:rowOff>15031</xdr:rowOff>
    </xdr:from>
    <xdr:to>
      <xdr:col>51</xdr:col>
      <xdr:colOff>49695</xdr:colOff>
      <xdr:row>97</xdr:row>
      <xdr:rowOff>819151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A7E64FF-75B0-4CFA-88A1-2C91BC3C5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62934" y="12597556"/>
          <a:ext cx="1925561" cy="80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36980</xdr:colOff>
      <xdr:row>97</xdr:row>
      <xdr:rowOff>861391</xdr:rowOff>
    </xdr:from>
    <xdr:to>
      <xdr:col>51</xdr:col>
      <xdr:colOff>59220</xdr:colOff>
      <xdr:row>98</xdr:row>
      <xdr:rowOff>819150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CEA18309-BDF2-4C2A-8581-04C11C8E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0780" y="13443916"/>
          <a:ext cx="1927240" cy="843584"/>
        </a:xfrm>
        <a:prstGeom prst="rect">
          <a:avLst/>
        </a:prstGeom>
      </xdr:spPr>
    </xdr:pic>
    <xdr:clientData/>
  </xdr:twoCellAnchor>
  <xdr:twoCellAnchor editAs="oneCell">
    <xdr:from>
      <xdr:col>34</xdr:col>
      <xdr:colOff>38659</xdr:colOff>
      <xdr:row>98</xdr:row>
      <xdr:rowOff>877958</xdr:rowOff>
    </xdr:from>
    <xdr:to>
      <xdr:col>51</xdr:col>
      <xdr:colOff>68745</xdr:colOff>
      <xdr:row>99</xdr:row>
      <xdr:rowOff>857250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EEB8A71-7504-4B16-BEB6-21DF0F0B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2459" y="14346308"/>
          <a:ext cx="1935086" cy="86511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97</xdr:row>
      <xdr:rowOff>24847</xdr:rowOff>
    </xdr:from>
    <xdr:to>
      <xdr:col>15</xdr:col>
      <xdr:colOff>209550</xdr:colOff>
      <xdr:row>97</xdr:row>
      <xdr:rowOff>866775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B58E996-E1B0-449D-9BD2-F6CC6EDF8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2607372"/>
          <a:ext cx="1876425" cy="841928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98</xdr:row>
      <xdr:rowOff>0</xdr:rowOff>
    </xdr:from>
    <xdr:to>
      <xdr:col>15</xdr:col>
      <xdr:colOff>190500</xdr:colOff>
      <xdr:row>99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CA30ECA-AAC6-451B-BFCB-93EC3C3DA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4" y="13468350"/>
          <a:ext cx="1868141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25676</xdr:colOff>
      <xdr:row>96</xdr:row>
      <xdr:rowOff>65849</xdr:rowOff>
    </xdr:from>
    <xdr:to>
      <xdr:col>15</xdr:col>
      <xdr:colOff>207065</xdr:colOff>
      <xdr:row>97</xdr:row>
      <xdr:rowOff>9525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38B858F-E436-4275-B289-AF371145B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26" y="11762549"/>
          <a:ext cx="1867314" cy="829501"/>
        </a:xfrm>
        <a:prstGeom prst="rect">
          <a:avLst/>
        </a:prstGeom>
      </xdr:spPr>
    </xdr:pic>
    <xdr:clientData/>
  </xdr:twoCellAnchor>
  <xdr:twoCellAnchor editAs="oneCell">
    <xdr:from>
      <xdr:col>18</xdr:col>
      <xdr:colOff>27333</xdr:colOff>
      <xdr:row>96</xdr:row>
      <xdr:rowOff>66675</xdr:rowOff>
    </xdr:from>
    <xdr:to>
      <xdr:col>35</xdr:col>
      <xdr:colOff>28575</xdr:colOff>
      <xdr:row>96</xdr:row>
      <xdr:rowOff>857250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99582F9-1620-4249-9FF4-0C49078BC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383" y="11763375"/>
          <a:ext cx="1991967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97</xdr:row>
      <xdr:rowOff>9526</xdr:rowOff>
    </xdr:from>
    <xdr:to>
      <xdr:col>35</xdr:col>
      <xdr:colOff>28575</xdr:colOff>
      <xdr:row>97</xdr:row>
      <xdr:rowOff>828675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1D46A20-89C8-446B-BD5A-B6D53E41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12592051"/>
          <a:ext cx="1990725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99</xdr:row>
      <xdr:rowOff>19050</xdr:rowOff>
    </xdr:from>
    <xdr:to>
      <xdr:col>15</xdr:col>
      <xdr:colOff>209551</xdr:colOff>
      <xdr:row>100</xdr:row>
      <xdr:rowOff>9524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A298AC4-3A38-4249-88DA-F8048BBF6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14373225"/>
          <a:ext cx="1885950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100</xdr:row>
      <xdr:rowOff>47625</xdr:rowOff>
    </xdr:from>
    <xdr:to>
      <xdr:col>15</xdr:col>
      <xdr:colOff>219075</xdr:colOff>
      <xdr:row>100</xdr:row>
      <xdr:rowOff>876300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E316A7EE-94D2-4F3C-83AA-AE7E1995B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15287625"/>
          <a:ext cx="1895474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101</xdr:row>
      <xdr:rowOff>9526</xdr:rowOff>
    </xdr:from>
    <xdr:to>
      <xdr:col>15</xdr:col>
      <xdr:colOff>219076</xdr:colOff>
      <xdr:row>101</xdr:row>
      <xdr:rowOff>866775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D3643ADF-3404-41F1-A1F6-433B7B3D6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16116301"/>
          <a:ext cx="1885950" cy="857249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97</xdr:row>
      <xdr:rowOff>857249</xdr:rowOff>
    </xdr:from>
    <xdr:to>
      <xdr:col>35</xdr:col>
      <xdr:colOff>20292</xdr:colOff>
      <xdr:row>98</xdr:row>
      <xdr:rowOff>828675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7F10679-0A9D-47DC-99B6-7B44FC27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13439774"/>
          <a:ext cx="1982442" cy="857251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98</xdr:row>
      <xdr:rowOff>833643</xdr:rowOff>
    </xdr:from>
    <xdr:to>
      <xdr:col>35</xdr:col>
      <xdr:colOff>20292</xdr:colOff>
      <xdr:row>99</xdr:row>
      <xdr:rowOff>866775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D4714FAB-7C98-408D-B10C-07E7E3523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14301993"/>
          <a:ext cx="1991967" cy="918957"/>
        </a:xfrm>
        <a:prstGeom prst="rect">
          <a:avLst/>
        </a:prstGeom>
      </xdr:spPr>
    </xdr:pic>
    <xdr:clientData/>
  </xdr:twoCellAnchor>
  <xdr:oneCellAnchor>
    <xdr:from>
      <xdr:col>35</xdr:col>
      <xdr:colOff>49697</xdr:colOff>
      <xdr:row>96</xdr:row>
      <xdr:rowOff>207064</xdr:rowOff>
    </xdr:from>
    <xdr:ext cx="1706218" cy="595864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F933177-8DEF-4FE0-B75B-1D50B0B592BE}"/>
            </a:ext>
          </a:extLst>
        </xdr:cNvPr>
        <xdr:cNvSpPr txBox="1"/>
      </xdr:nvSpPr>
      <xdr:spPr>
        <a:xfrm>
          <a:off x="3897797" y="11903764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/>
            <a:t>Красный</a:t>
          </a:r>
          <a:br>
            <a:rPr lang="ru-RU" sz="1100"/>
          </a:br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oneCellAnchor>
    <xdr:from>
      <xdr:col>35</xdr:col>
      <xdr:colOff>3313</xdr:colOff>
      <xdr:row>97</xdr:row>
      <xdr:rowOff>177248</xdr:rowOff>
    </xdr:from>
    <xdr:ext cx="1706218" cy="595864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59E51F5-192D-4015-8955-6F2FEBFA42D9}"/>
            </a:ext>
          </a:extLst>
        </xdr:cNvPr>
        <xdr:cNvSpPr txBox="1"/>
      </xdr:nvSpPr>
      <xdr:spPr>
        <a:xfrm>
          <a:off x="3851413" y="12759773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/>
            <a:t>Синий</a:t>
          </a:r>
          <a:br>
            <a:rPr lang="ru-RU" sz="1100"/>
          </a:br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oneCellAnchor>
    <xdr:from>
      <xdr:col>35</xdr:col>
      <xdr:colOff>12568</xdr:colOff>
      <xdr:row>98</xdr:row>
      <xdr:rowOff>205529</xdr:rowOff>
    </xdr:from>
    <xdr:ext cx="1706218" cy="595864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D4699AB-650D-4E7B-B387-416EA50081D3}"/>
            </a:ext>
          </a:extLst>
        </xdr:cNvPr>
        <xdr:cNvSpPr txBox="1"/>
      </xdr:nvSpPr>
      <xdr:spPr>
        <a:xfrm>
          <a:off x="3860668" y="13673879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/>
            <a:t>Желтый</a:t>
          </a:r>
        </a:p>
        <a:p>
          <a:pPr algn="ctr"/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oneCellAnchor>
    <xdr:from>
      <xdr:col>35</xdr:col>
      <xdr:colOff>32448</xdr:colOff>
      <xdr:row>99</xdr:row>
      <xdr:rowOff>167430</xdr:rowOff>
    </xdr:from>
    <xdr:ext cx="1706218" cy="595864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E889AB0-6131-4F3E-8F0C-0E557E5CB0B5}"/>
            </a:ext>
          </a:extLst>
        </xdr:cNvPr>
        <xdr:cNvSpPr txBox="1"/>
      </xdr:nvSpPr>
      <xdr:spPr>
        <a:xfrm>
          <a:off x="3880548" y="14521605"/>
          <a:ext cx="1706218" cy="595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ru-RU" sz="1100" b="1"/>
            <a:t>Зеленый</a:t>
          </a:r>
          <a:br>
            <a:rPr lang="ru-RU" sz="1100"/>
          </a:br>
          <a:r>
            <a:rPr lang="ru-RU" sz="1100"/>
            <a:t>+30% к</a:t>
          </a:r>
          <a:r>
            <a:rPr lang="ru-RU" sz="1100" baseline="0"/>
            <a:t> стоимости изделия</a:t>
          </a:r>
          <a:endParaRPr lang="ru-RU" sz="1100"/>
        </a:p>
      </xdr:txBody>
    </xdr:sp>
    <xdr:clientData/>
  </xdr:oneCellAnchor>
  <xdr:twoCellAnchor editAs="oneCell">
    <xdr:from>
      <xdr:col>22</xdr:col>
      <xdr:colOff>3727</xdr:colOff>
      <xdr:row>100</xdr:row>
      <xdr:rowOff>207067</xdr:rowOff>
    </xdr:from>
    <xdr:to>
      <xdr:col>46</xdr:col>
      <xdr:colOff>59220</xdr:colOff>
      <xdr:row>101</xdr:row>
      <xdr:rowOff>733425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F1200908-74D2-4424-B290-C92D0B8EA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352" y="15428017"/>
          <a:ext cx="2770118" cy="1412183"/>
        </a:xfrm>
        <a:prstGeom prst="rect">
          <a:avLst/>
        </a:prstGeom>
      </xdr:spPr>
    </xdr:pic>
    <xdr:clientData/>
  </xdr:twoCellAnchor>
  <xdr:oneCellAnchor>
    <xdr:from>
      <xdr:col>6</xdr:col>
      <xdr:colOff>67091</xdr:colOff>
      <xdr:row>96</xdr:row>
      <xdr:rowOff>314326</xdr:rowOff>
    </xdr:from>
    <xdr:ext cx="1706218" cy="4953411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DDC742C-5ED0-4EA0-A178-974F8842D876}"/>
            </a:ext>
          </a:extLst>
        </xdr:cNvPr>
        <xdr:cNvSpPr txBox="1"/>
      </xdr:nvSpPr>
      <xdr:spPr>
        <a:xfrm>
          <a:off x="657641" y="12011026"/>
          <a:ext cx="1706218" cy="49534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Бук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Пепельный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Ольха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Дуб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Орех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Вишня</a:t>
          </a:r>
        </a:p>
      </xdr:txBody>
    </xdr:sp>
    <xdr:clientData/>
  </xdr:oneCellAnchor>
  <xdr:oneCellAnchor>
    <xdr:from>
      <xdr:col>19</xdr:col>
      <xdr:colOff>82826</xdr:colOff>
      <xdr:row>96</xdr:row>
      <xdr:rowOff>306457</xdr:rowOff>
    </xdr:from>
    <xdr:ext cx="1532282" cy="301487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F12FADC-2812-4CBB-BDB6-006E7B3AEAEF}"/>
            </a:ext>
          </a:extLst>
        </xdr:cNvPr>
        <xdr:cNvSpPr txBox="1"/>
      </xdr:nvSpPr>
      <xdr:spPr>
        <a:xfrm>
          <a:off x="2121176" y="12003157"/>
          <a:ext cx="1532282" cy="30148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/>
            <a:t>Ясень шимо светлый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Ясень шимо темный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           Яблоня</a:t>
          </a:r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endParaRPr lang="ru-RU" sz="1100" b="1"/>
        </a:p>
        <a:p>
          <a:r>
            <a:rPr lang="ru-RU" sz="1100" b="1"/>
            <a:t>             </a:t>
          </a:r>
          <a:r>
            <a:rPr lang="ru-RU" sz="1100" b="1">
              <a:solidFill>
                <a:schemeClr val="bg1"/>
              </a:solidFill>
            </a:rPr>
            <a:t>Венге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108328</xdr:colOff>
      <xdr:row>10</xdr:row>
      <xdr:rowOff>102377</xdr:rowOff>
    </xdr:from>
    <xdr:to>
      <xdr:col>25</xdr:col>
      <xdr:colOff>16969</xdr:colOff>
      <xdr:row>18</xdr:row>
      <xdr:rowOff>71923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7B6DEB0-0580-4D8C-B1DB-941006FEA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328" y="1674002"/>
          <a:ext cx="708741" cy="883945"/>
        </a:xfrm>
        <a:prstGeom prst="rect">
          <a:avLst/>
        </a:prstGeom>
      </xdr:spPr>
    </xdr:pic>
    <xdr:clientData/>
  </xdr:twoCellAnchor>
  <xdr:twoCellAnchor editAs="oneCell">
    <xdr:from>
      <xdr:col>60</xdr:col>
      <xdr:colOff>34453</xdr:colOff>
      <xdr:row>11</xdr:row>
      <xdr:rowOff>4689</xdr:rowOff>
    </xdr:from>
    <xdr:to>
      <xdr:col>66</xdr:col>
      <xdr:colOff>71429</xdr:colOff>
      <xdr:row>18</xdr:row>
      <xdr:rowOff>74291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16981B9-13D1-46A8-AAFA-3030BC69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8603" y="1690614"/>
          <a:ext cx="722776" cy="869702"/>
        </a:xfrm>
        <a:prstGeom prst="rect">
          <a:avLst/>
        </a:prstGeom>
      </xdr:spPr>
    </xdr:pic>
    <xdr:clientData/>
  </xdr:twoCellAnchor>
  <xdr:twoCellAnchor editAs="oneCell">
    <xdr:from>
      <xdr:col>59</xdr:col>
      <xdr:colOff>28406</xdr:colOff>
      <xdr:row>26</xdr:row>
      <xdr:rowOff>93892</xdr:rowOff>
    </xdr:from>
    <xdr:to>
      <xdr:col>68</xdr:col>
      <xdr:colOff>30003</xdr:colOff>
      <xdr:row>35</xdr:row>
      <xdr:rowOff>10986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2C2AACF-678C-4882-BA19-69B910032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8256" y="3399067"/>
          <a:ext cx="1058872" cy="945793"/>
        </a:xfrm>
        <a:prstGeom prst="rect">
          <a:avLst/>
        </a:prstGeom>
      </xdr:spPr>
    </xdr:pic>
    <xdr:clientData/>
  </xdr:twoCellAnchor>
  <xdr:twoCellAnchor editAs="oneCell">
    <xdr:from>
      <xdr:col>30</xdr:col>
      <xdr:colOff>91453</xdr:colOff>
      <xdr:row>42</xdr:row>
      <xdr:rowOff>85500</xdr:rowOff>
    </xdr:from>
    <xdr:to>
      <xdr:col>40</xdr:col>
      <xdr:colOff>28370</xdr:colOff>
      <xdr:row>51</xdr:row>
      <xdr:rowOff>9368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4DDC44C-0296-4C31-8493-A491D1625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0903" y="5124225"/>
          <a:ext cx="1079917" cy="952567"/>
        </a:xfrm>
        <a:prstGeom prst="rect">
          <a:avLst/>
        </a:prstGeom>
      </xdr:spPr>
    </xdr:pic>
    <xdr:clientData/>
  </xdr:twoCellAnchor>
  <xdr:twoCellAnchor editAs="oneCell">
    <xdr:from>
      <xdr:col>45</xdr:col>
      <xdr:colOff>74767</xdr:colOff>
      <xdr:row>42</xdr:row>
      <xdr:rowOff>74767</xdr:rowOff>
    </xdr:from>
    <xdr:to>
      <xdr:col>54</xdr:col>
      <xdr:colOff>125983</xdr:colOff>
      <xdr:row>51</xdr:row>
      <xdr:rowOff>11685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583EA73-C5CB-4948-8A4B-747F546A9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1567" y="5113492"/>
          <a:ext cx="1079916" cy="965617"/>
        </a:xfrm>
        <a:prstGeom prst="rect">
          <a:avLst/>
        </a:prstGeom>
      </xdr:spPr>
    </xdr:pic>
    <xdr:clientData/>
  </xdr:twoCellAnchor>
  <xdr:twoCellAnchor editAs="oneCell">
    <xdr:from>
      <xdr:col>57</xdr:col>
      <xdr:colOff>105704</xdr:colOff>
      <xdr:row>43</xdr:row>
      <xdr:rowOff>46173</xdr:rowOff>
    </xdr:from>
    <xdr:to>
      <xdr:col>68</xdr:col>
      <xdr:colOff>106256</xdr:colOff>
      <xdr:row>51</xdr:row>
      <xdr:rowOff>91599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44C8860-C8A6-4F37-AB5F-E8EEAEF50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6954" y="5199198"/>
          <a:ext cx="1286427" cy="959825"/>
        </a:xfrm>
        <a:prstGeom prst="rect">
          <a:avLst/>
        </a:prstGeom>
      </xdr:spPr>
    </xdr:pic>
    <xdr:clientData/>
  </xdr:twoCellAnchor>
  <xdr:twoCellAnchor editAs="oneCell">
    <xdr:from>
      <xdr:col>58</xdr:col>
      <xdr:colOff>40125</xdr:colOff>
      <xdr:row>58</xdr:row>
      <xdr:rowOff>87750</xdr:rowOff>
    </xdr:from>
    <xdr:to>
      <xdr:col>67</xdr:col>
      <xdr:colOff>35504</xdr:colOff>
      <xdr:row>66</xdr:row>
      <xdr:rowOff>11398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AF19B28-F5FB-451B-91CB-6A3A1DB0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5675" y="6860025"/>
          <a:ext cx="1024079" cy="838047"/>
        </a:xfrm>
        <a:prstGeom prst="rect">
          <a:avLst/>
        </a:prstGeom>
      </xdr:spPr>
    </xdr:pic>
    <xdr:clientData/>
  </xdr:twoCellAnchor>
  <xdr:twoCellAnchor editAs="oneCell">
    <xdr:from>
      <xdr:col>33</xdr:col>
      <xdr:colOff>19828</xdr:colOff>
      <xdr:row>71</xdr:row>
      <xdr:rowOff>97218</xdr:rowOff>
    </xdr:from>
    <xdr:to>
      <xdr:col>38</xdr:col>
      <xdr:colOff>37382</xdr:colOff>
      <xdr:row>78</xdr:row>
      <xdr:rowOff>101777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A43EEBE-B5F0-438B-9569-10237418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2178" y="8260143"/>
          <a:ext cx="589054" cy="804658"/>
        </a:xfrm>
        <a:prstGeom prst="rect">
          <a:avLst/>
        </a:prstGeom>
      </xdr:spPr>
    </xdr:pic>
    <xdr:clientData/>
  </xdr:twoCellAnchor>
  <xdr:twoCellAnchor editAs="oneCell">
    <xdr:from>
      <xdr:col>30</xdr:col>
      <xdr:colOff>84534</xdr:colOff>
      <xdr:row>85</xdr:row>
      <xdr:rowOff>101926</xdr:rowOff>
    </xdr:from>
    <xdr:to>
      <xdr:col>40</xdr:col>
      <xdr:colOff>104007</xdr:colOff>
      <xdr:row>94</xdr:row>
      <xdr:rowOff>185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BAD8523-54FE-42C2-9117-DA69532E6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3984" y="9769801"/>
          <a:ext cx="1162473" cy="926959"/>
        </a:xfrm>
        <a:prstGeom prst="rect">
          <a:avLst/>
        </a:prstGeom>
      </xdr:spPr>
    </xdr:pic>
    <xdr:clientData/>
  </xdr:twoCellAnchor>
  <xdr:twoCellAnchor editAs="oneCell">
    <xdr:from>
      <xdr:col>2</xdr:col>
      <xdr:colOff>12573</xdr:colOff>
      <xdr:row>86</xdr:row>
      <xdr:rowOff>34004</xdr:rowOff>
    </xdr:from>
    <xdr:to>
      <xdr:col>12</xdr:col>
      <xdr:colOff>111318</xdr:colOff>
      <xdr:row>91</xdr:row>
      <xdr:rowOff>55599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70BE388-9345-4194-B3F9-DA1745F1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923" y="9816179"/>
          <a:ext cx="1241745" cy="59309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10</xdr:row>
      <xdr:rowOff>110543</xdr:rowOff>
    </xdr:from>
    <xdr:to>
      <xdr:col>11</xdr:col>
      <xdr:colOff>85726</xdr:colOff>
      <xdr:row>20</xdr:row>
      <xdr:rowOff>74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54C8467-6989-47D8-B479-24F3791DB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1682168"/>
          <a:ext cx="819150" cy="1032531"/>
        </a:xfrm>
        <a:prstGeom prst="rect">
          <a:avLst/>
        </a:prstGeom>
      </xdr:spPr>
    </xdr:pic>
    <xdr:clientData/>
  </xdr:twoCellAnchor>
  <xdr:twoCellAnchor editAs="oneCell">
    <xdr:from>
      <xdr:col>31</xdr:col>
      <xdr:colOff>130950</xdr:colOff>
      <xdr:row>11</xdr:row>
      <xdr:rowOff>69721</xdr:rowOff>
    </xdr:from>
    <xdr:to>
      <xdr:col>39</xdr:col>
      <xdr:colOff>0</xdr:colOff>
      <xdr:row>20</xdr:row>
      <xdr:rowOff>16724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5D25B2C-6E50-4E08-8C37-D9723CDBE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5650" y="1755646"/>
          <a:ext cx="802500" cy="975704"/>
        </a:xfrm>
        <a:prstGeom prst="rect">
          <a:avLst/>
        </a:prstGeom>
      </xdr:spPr>
    </xdr:pic>
    <xdr:clientData/>
  </xdr:twoCellAnchor>
  <xdr:twoCellAnchor editAs="oneCell">
    <xdr:from>
      <xdr:col>46</xdr:col>
      <xdr:colOff>4725</xdr:colOff>
      <xdr:row>10</xdr:row>
      <xdr:rowOff>114299</xdr:rowOff>
    </xdr:from>
    <xdr:to>
      <xdr:col>52</xdr:col>
      <xdr:colOff>76200</xdr:colOff>
      <xdr:row>20</xdr:row>
      <xdr:rowOff>14324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D1D8E07-FE1C-417F-BDEF-D203B904C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5825" y="1685924"/>
          <a:ext cx="757275" cy="10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126150</xdr:colOff>
      <xdr:row>27</xdr:row>
      <xdr:rowOff>10082</xdr:rowOff>
    </xdr:from>
    <xdr:to>
      <xdr:col>12</xdr:col>
      <xdr:colOff>19050</xdr:colOff>
      <xdr:row>34</xdr:row>
      <xdr:rowOff>100326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5434252-2796-4963-A9DC-1FB61C7A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975" y="3429557"/>
          <a:ext cx="1045425" cy="890343"/>
        </a:xfrm>
        <a:prstGeom prst="rect">
          <a:avLst/>
        </a:prstGeom>
      </xdr:spPr>
    </xdr:pic>
    <xdr:clientData/>
  </xdr:twoCellAnchor>
  <xdr:twoCellAnchor editAs="oneCell">
    <xdr:from>
      <xdr:col>16</xdr:col>
      <xdr:colOff>133275</xdr:colOff>
      <xdr:row>26</xdr:row>
      <xdr:rowOff>104774</xdr:rowOff>
    </xdr:from>
    <xdr:to>
      <xdr:col>25</xdr:col>
      <xdr:colOff>103662</xdr:colOff>
      <xdr:row>35</xdr:row>
      <xdr:rowOff>60122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9CCD569-661F-4B9D-B265-A8FA768A5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625" y="3409949"/>
          <a:ext cx="1018137" cy="984047"/>
        </a:xfrm>
        <a:prstGeom prst="rect">
          <a:avLst/>
        </a:prstGeom>
      </xdr:spPr>
    </xdr:pic>
    <xdr:clientData/>
  </xdr:twoCellAnchor>
  <xdr:twoCellAnchor editAs="oneCell">
    <xdr:from>
      <xdr:col>31</xdr:col>
      <xdr:colOff>35625</xdr:colOff>
      <xdr:row>26</xdr:row>
      <xdr:rowOff>114299</xdr:rowOff>
    </xdr:from>
    <xdr:to>
      <xdr:col>40</xdr:col>
      <xdr:colOff>363</xdr:colOff>
      <xdr:row>35</xdr:row>
      <xdr:rowOff>10989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CD818E9-6CF1-4F8D-80CB-F2DE1BBA3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9375" y="3419474"/>
          <a:ext cx="993438" cy="925389"/>
        </a:xfrm>
        <a:prstGeom prst="rect">
          <a:avLst/>
        </a:prstGeom>
      </xdr:spPr>
    </xdr:pic>
    <xdr:clientData/>
  </xdr:twoCellAnchor>
  <xdr:twoCellAnchor editAs="oneCell">
    <xdr:from>
      <xdr:col>44</xdr:col>
      <xdr:colOff>61800</xdr:colOff>
      <xdr:row>26</xdr:row>
      <xdr:rowOff>56374</xdr:rowOff>
    </xdr:from>
    <xdr:to>
      <xdr:col>54</xdr:col>
      <xdr:colOff>28575</xdr:colOff>
      <xdr:row>35</xdr:row>
      <xdr:rowOff>76453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CBF0833-6063-4059-A628-EA8E5AE9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4300" y="3361549"/>
          <a:ext cx="1109775" cy="1048778"/>
        </a:xfrm>
        <a:prstGeom prst="rect">
          <a:avLst/>
        </a:prstGeom>
      </xdr:spPr>
    </xdr:pic>
    <xdr:clientData/>
  </xdr:twoCellAnchor>
  <xdr:twoCellAnchor editAs="oneCell">
    <xdr:from>
      <xdr:col>3</xdr:col>
      <xdr:colOff>21301</xdr:colOff>
      <xdr:row>72</xdr:row>
      <xdr:rowOff>80302</xdr:rowOff>
    </xdr:from>
    <xdr:to>
      <xdr:col>12</xdr:col>
      <xdr:colOff>1</xdr:colOff>
      <xdr:row>80</xdr:row>
      <xdr:rowOff>49948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FCFF961-9601-4D50-8406-8AA15D2EC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51" y="8357527"/>
          <a:ext cx="1007400" cy="884047"/>
        </a:xfrm>
        <a:prstGeom prst="rect">
          <a:avLst/>
        </a:prstGeom>
      </xdr:spPr>
    </xdr:pic>
    <xdr:clientData/>
  </xdr:twoCellAnchor>
  <xdr:twoCellAnchor editAs="oneCell">
    <xdr:from>
      <xdr:col>44</xdr:col>
      <xdr:colOff>114150</xdr:colOff>
      <xdr:row>58</xdr:row>
      <xdr:rowOff>85725</xdr:rowOff>
    </xdr:from>
    <xdr:to>
      <xdr:col>54</xdr:col>
      <xdr:colOff>66675</xdr:colOff>
      <xdr:row>65</xdr:row>
      <xdr:rowOff>76200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724DC65-D970-4EFE-B882-B7CD34E18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650" y="6858000"/>
          <a:ext cx="1095525" cy="790575"/>
        </a:xfrm>
        <a:prstGeom prst="rect">
          <a:avLst/>
        </a:prstGeom>
      </xdr:spPr>
    </xdr:pic>
    <xdr:clientData/>
  </xdr:twoCellAnchor>
  <xdr:twoCellAnchor editAs="oneCell">
    <xdr:from>
      <xdr:col>16</xdr:col>
      <xdr:colOff>6974</xdr:colOff>
      <xdr:row>72</xdr:row>
      <xdr:rowOff>64126</xdr:rowOff>
    </xdr:from>
    <xdr:to>
      <xdr:col>27</xdr:col>
      <xdr:colOff>9525</xdr:colOff>
      <xdr:row>79</xdr:row>
      <xdr:rowOff>86052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264EAA2-7A85-4A4B-BEA0-3CE74DAE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3374" y="8341351"/>
          <a:ext cx="1297951" cy="822026"/>
        </a:xfrm>
        <a:prstGeom prst="rect">
          <a:avLst/>
        </a:prstGeom>
      </xdr:spPr>
    </xdr:pic>
    <xdr:clientData/>
  </xdr:twoCellAnchor>
  <xdr:twoCellAnchor editAs="oneCell">
    <xdr:from>
      <xdr:col>46</xdr:col>
      <xdr:colOff>14101</xdr:colOff>
      <xdr:row>72</xdr:row>
      <xdr:rowOff>104775</xdr:rowOff>
    </xdr:from>
    <xdr:to>
      <xdr:col>53</xdr:col>
      <xdr:colOff>14891</xdr:colOff>
      <xdr:row>79</xdr:row>
      <xdr:rowOff>90374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BB3BA33-90EF-4FAB-9442-0CF30AD25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5201" y="8382000"/>
          <a:ext cx="800890" cy="785699"/>
        </a:xfrm>
        <a:prstGeom prst="rect">
          <a:avLst/>
        </a:prstGeom>
      </xdr:spPr>
    </xdr:pic>
    <xdr:clientData/>
  </xdr:twoCellAnchor>
  <xdr:twoCellAnchor editAs="oneCell">
    <xdr:from>
      <xdr:col>2</xdr:col>
      <xdr:colOff>126000</xdr:colOff>
      <xdr:row>42</xdr:row>
      <xdr:rowOff>102604</xdr:rowOff>
    </xdr:from>
    <xdr:to>
      <xdr:col>12</xdr:col>
      <xdr:colOff>19050</xdr:colOff>
      <xdr:row>51</xdr:row>
      <xdr:rowOff>8195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E61D063-4DBD-4F0F-97A7-D7E5ABD1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825" y="5141329"/>
          <a:ext cx="1045575" cy="934290"/>
        </a:xfrm>
        <a:prstGeom prst="rect">
          <a:avLst/>
        </a:prstGeom>
      </xdr:spPr>
    </xdr:pic>
    <xdr:clientData/>
  </xdr:twoCellAnchor>
  <xdr:twoCellAnchor editAs="oneCell">
    <xdr:from>
      <xdr:col>16</xdr:col>
      <xdr:colOff>95025</xdr:colOff>
      <xdr:row>42</xdr:row>
      <xdr:rowOff>95250</xdr:rowOff>
    </xdr:from>
    <xdr:to>
      <xdr:col>26</xdr:col>
      <xdr:colOff>47625</xdr:colOff>
      <xdr:row>51</xdr:row>
      <xdr:rowOff>50745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720C5C6-71C3-4B15-A4F4-2CBC5CFAE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425" y="5133975"/>
          <a:ext cx="1095600" cy="984194"/>
        </a:xfrm>
        <a:prstGeom prst="rect">
          <a:avLst/>
        </a:prstGeom>
      </xdr:spPr>
    </xdr:pic>
    <xdr:clientData/>
  </xdr:twoCellAnchor>
  <xdr:twoCellAnchor editAs="oneCell">
    <xdr:from>
      <xdr:col>15</xdr:col>
      <xdr:colOff>57763</xdr:colOff>
      <xdr:row>85</xdr:row>
      <xdr:rowOff>66675</xdr:rowOff>
    </xdr:from>
    <xdr:to>
      <xdr:col>27</xdr:col>
      <xdr:colOff>32886</xdr:colOff>
      <xdr:row>93</xdr:row>
      <xdr:rowOff>71399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4F5A703-9CDE-4B0B-AFD1-ADEE6FA1C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863" y="9734550"/>
          <a:ext cx="1384823" cy="9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57</xdr:row>
      <xdr:rowOff>19051</xdr:rowOff>
    </xdr:from>
    <xdr:to>
      <xdr:col>12</xdr:col>
      <xdr:colOff>142875</xdr:colOff>
      <xdr:row>65</xdr:row>
      <xdr:rowOff>73511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E6FD6A5-24AD-4201-AAB3-39009C32FE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6677026"/>
          <a:ext cx="1257300" cy="968861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28576</xdr:colOff>
      <xdr:row>57</xdr:row>
      <xdr:rowOff>66674</xdr:rowOff>
    </xdr:from>
    <xdr:to>
      <xdr:col>26</xdr:col>
      <xdr:colOff>137600</xdr:colOff>
      <xdr:row>66</xdr:row>
      <xdr:rowOff>95249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97D66AB-D9B5-4262-B087-21B39D0AD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0676" y="6724649"/>
          <a:ext cx="1366324" cy="1057275"/>
        </a:xfrm>
        <a:prstGeom prst="rect">
          <a:avLst/>
        </a:prstGeom>
      </xdr:spPr>
    </xdr:pic>
    <xdr:clientData/>
  </xdr:twoCellAnchor>
  <xdr:twoCellAnchor editAs="oneCell">
    <xdr:from>
      <xdr:col>29</xdr:col>
      <xdr:colOff>38099</xdr:colOff>
      <xdr:row>57</xdr:row>
      <xdr:rowOff>47625</xdr:rowOff>
    </xdr:from>
    <xdr:to>
      <xdr:col>41</xdr:col>
      <xdr:colOff>28574</xdr:colOff>
      <xdr:row>66</xdr:row>
      <xdr:rowOff>60722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9EEC15C-CF9E-4399-B103-A2BBCAAC2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49" y="6705600"/>
          <a:ext cx="1400175" cy="1041797"/>
        </a:xfrm>
        <a:prstGeom prst="rect">
          <a:avLst/>
        </a:prstGeom>
      </xdr:spPr>
    </xdr:pic>
    <xdr:clientData/>
  </xdr:twoCellAnchor>
  <xdr:twoCellAnchor editAs="oneCell">
    <xdr:from>
      <xdr:col>65</xdr:col>
      <xdr:colOff>19050</xdr:colOff>
      <xdr:row>74</xdr:row>
      <xdr:rowOff>95250</xdr:rowOff>
    </xdr:from>
    <xdr:to>
      <xdr:col>69</xdr:col>
      <xdr:colOff>16758</xdr:colOff>
      <xdr:row>79</xdr:row>
      <xdr:rowOff>95249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D53B2A6C-12ED-427F-89AC-993B5CC83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0" y="8601075"/>
          <a:ext cx="483483" cy="571499"/>
        </a:xfrm>
        <a:prstGeom prst="rect">
          <a:avLst/>
        </a:prstGeom>
      </xdr:spPr>
    </xdr:pic>
    <xdr:clientData/>
  </xdr:twoCellAnchor>
  <xdr:twoCellAnchor editAs="oneCell">
    <xdr:from>
      <xdr:col>57</xdr:col>
      <xdr:colOff>66675</xdr:colOff>
      <xdr:row>72</xdr:row>
      <xdr:rowOff>19050</xdr:rowOff>
    </xdr:from>
    <xdr:to>
      <xdr:col>64</xdr:col>
      <xdr:colOff>57150</xdr:colOff>
      <xdr:row>77</xdr:row>
      <xdr:rowOff>97828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237C75B-F489-40FA-BC75-8CF5F6C94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925" y="8296275"/>
          <a:ext cx="790575" cy="650278"/>
        </a:xfrm>
        <a:prstGeom prst="rect">
          <a:avLst/>
        </a:prstGeom>
      </xdr:spPr>
    </xdr:pic>
    <xdr:clientData/>
  </xdr:twoCellAnchor>
  <xdr:twoCellAnchor editAs="oneCell">
    <xdr:from>
      <xdr:col>43</xdr:col>
      <xdr:colOff>104775</xdr:colOff>
      <xdr:row>85</xdr:row>
      <xdr:rowOff>19051</xdr:rowOff>
    </xdr:from>
    <xdr:to>
      <xdr:col>54</xdr:col>
      <xdr:colOff>133350</xdr:colOff>
      <xdr:row>93</xdr:row>
      <xdr:rowOff>105681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7D71D53-1015-427B-8C5E-BCE59E9B7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2975" y="9686926"/>
          <a:ext cx="1285875" cy="1001031"/>
        </a:xfrm>
        <a:prstGeom prst="rect">
          <a:avLst/>
        </a:prstGeom>
      </xdr:spPr>
    </xdr:pic>
    <xdr:clientData/>
  </xdr:twoCellAnchor>
  <xdr:twoCellAnchor editAs="oneCell">
    <xdr:from>
      <xdr:col>57</xdr:col>
      <xdr:colOff>19050</xdr:colOff>
      <xdr:row>84</xdr:row>
      <xdr:rowOff>9526</xdr:rowOff>
    </xdr:from>
    <xdr:to>
      <xdr:col>68</xdr:col>
      <xdr:colOff>0</xdr:colOff>
      <xdr:row>93</xdr:row>
      <xdr:rowOff>107807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2F17E77-A042-48C4-82BD-C5F30F095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10300" y="9563101"/>
          <a:ext cx="1266825" cy="1126982"/>
        </a:xfrm>
        <a:prstGeom prst="rect">
          <a:avLst/>
        </a:prstGeom>
      </xdr:spPr>
    </xdr:pic>
    <xdr:clientData/>
  </xdr:twoCellAnchor>
  <xdr:twoCellAnchor editAs="oneCell">
    <xdr:from>
      <xdr:col>66</xdr:col>
      <xdr:colOff>85852</xdr:colOff>
      <xdr:row>1</xdr:row>
      <xdr:rowOff>651215</xdr:rowOff>
    </xdr:from>
    <xdr:to>
      <xdr:col>71</xdr:col>
      <xdr:colOff>4853</xdr:colOff>
      <xdr:row>2</xdr:row>
      <xdr:rowOff>83686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ED260ED-A059-47FD-9BA3-311343523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18134">
          <a:off x="7212284" y="668533"/>
          <a:ext cx="545053" cy="584130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1</xdr:row>
      <xdr:rowOff>171450</xdr:rowOff>
    </xdr:from>
    <xdr:to>
      <xdr:col>49</xdr:col>
      <xdr:colOff>9525</xdr:colOff>
      <xdr:row>1</xdr:row>
      <xdr:rowOff>1004455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2860C02-8D4B-49F5-9B23-763EEA3C6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0561" y="188768"/>
          <a:ext cx="3797878" cy="833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76199</xdr:colOff>
      <xdr:row>98</xdr:row>
      <xdr:rowOff>57150</xdr:rowOff>
    </xdr:from>
    <xdr:to>
      <xdr:col>64</xdr:col>
      <xdr:colOff>47624</xdr:colOff>
      <xdr:row>130</xdr:row>
      <xdr:rowOff>87287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D094D982-B103-4EC3-89BD-BAC596429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4949" y="11620500"/>
          <a:ext cx="5934075" cy="368773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131</xdr:row>
      <xdr:rowOff>87289</xdr:rowOff>
    </xdr:from>
    <xdr:to>
      <xdr:col>69</xdr:col>
      <xdr:colOff>64147</xdr:colOff>
      <xdr:row>184</xdr:row>
      <xdr:rowOff>30139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419CF79-2B04-46B4-ABCF-0BFE553D1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450" y="15422539"/>
          <a:ext cx="7503172" cy="6000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16905</xdr:colOff>
      <xdr:row>64</xdr:row>
      <xdr:rowOff>53539</xdr:rowOff>
    </xdr:from>
    <xdr:to>
      <xdr:col>13</xdr:col>
      <xdr:colOff>80596</xdr:colOff>
      <xdr:row>73</xdr:row>
      <xdr:rowOff>105598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4BA8EE6-DE68-489A-8AA0-D500E628E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855" y="7473514"/>
          <a:ext cx="1120966" cy="1080759"/>
        </a:xfrm>
        <a:prstGeom prst="rect">
          <a:avLst/>
        </a:prstGeom>
      </xdr:spPr>
    </xdr:pic>
    <xdr:clientData/>
  </xdr:twoCellAnchor>
  <xdr:twoCellAnchor editAs="oneCell">
    <xdr:from>
      <xdr:col>17</xdr:col>
      <xdr:colOff>78980</xdr:colOff>
      <xdr:row>64</xdr:row>
      <xdr:rowOff>13038</xdr:rowOff>
    </xdr:from>
    <xdr:to>
      <xdr:col>31</xdr:col>
      <xdr:colOff>11776</xdr:colOff>
      <xdr:row>71</xdr:row>
      <xdr:rowOff>109903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9C53681-E76B-4A31-8793-12F3B74C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355" y="7433013"/>
          <a:ext cx="1590146" cy="896965"/>
        </a:xfrm>
        <a:prstGeom prst="rect">
          <a:avLst/>
        </a:prstGeom>
      </xdr:spPr>
    </xdr:pic>
    <xdr:clientData/>
  </xdr:twoCellAnchor>
  <xdr:twoCellAnchor editAs="oneCell">
    <xdr:from>
      <xdr:col>2</xdr:col>
      <xdr:colOff>96692</xdr:colOff>
      <xdr:row>8</xdr:row>
      <xdr:rowOff>16097</xdr:rowOff>
    </xdr:from>
    <xdr:to>
      <xdr:col>13</xdr:col>
      <xdr:colOff>102576</xdr:colOff>
      <xdr:row>18</xdr:row>
      <xdr:rowOff>9100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457015A-2035-4028-B56F-B5B8B3375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042" y="1416272"/>
          <a:ext cx="1291759" cy="1136001"/>
        </a:xfrm>
        <a:prstGeom prst="rect">
          <a:avLst/>
        </a:prstGeom>
      </xdr:spPr>
    </xdr:pic>
    <xdr:clientData/>
  </xdr:twoCellAnchor>
  <xdr:twoCellAnchor editAs="oneCell">
    <xdr:from>
      <xdr:col>17</xdr:col>
      <xdr:colOff>122134</xdr:colOff>
      <xdr:row>8</xdr:row>
      <xdr:rowOff>41539</xdr:rowOff>
    </xdr:from>
    <xdr:to>
      <xdr:col>31</xdr:col>
      <xdr:colOff>24245</xdr:colOff>
      <xdr:row>16</xdr:row>
      <xdr:rowOff>102577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89BEA11-4EF6-45F8-9305-DC81C14E8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509" y="1441714"/>
          <a:ext cx="1559461" cy="975436"/>
        </a:xfrm>
        <a:prstGeom prst="rect">
          <a:avLst/>
        </a:prstGeom>
      </xdr:spPr>
    </xdr:pic>
    <xdr:clientData/>
  </xdr:twoCellAnchor>
  <xdr:twoCellAnchor editAs="oneCell">
    <xdr:from>
      <xdr:col>34</xdr:col>
      <xdr:colOff>16568</xdr:colOff>
      <xdr:row>8</xdr:row>
      <xdr:rowOff>41414</xdr:rowOff>
    </xdr:from>
    <xdr:to>
      <xdr:col>46</xdr:col>
      <xdr:colOff>98639</xdr:colOff>
      <xdr:row>16</xdr:row>
      <xdr:rowOff>82829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CE8E5F5-A273-4534-BE9B-16AA5A2C3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6093" y="1441589"/>
          <a:ext cx="1463196" cy="955813"/>
        </a:xfrm>
        <a:prstGeom prst="rect">
          <a:avLst/>
        </a:prstGeom>
      </xdr:spPr>
    </xdr:pic>
    <xdr:clientData/>
  </xdr:twoCellAnchor>
  <xdr:twoCellAnchor editAs="oneCell">
    <xdr:from>
      <xdr:col>52</xdr:col>
      <xdr:colOff>99391</xdr:colOff>
      <xdr:row>8</xdr:row>
      <xdr:rowOff>16565</xdr:rowOff>
    </xdr:from>
    <xdr:to>
      <xdr:col>61</xdr:col>
      <xdr:colOff>74391</xdr:colOff>
      <xdr:row>17</xdr:row>
      <xdr:rowOff>57978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1DA6AE-D03B-4E48-886E-F2C7BBA4D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19166" y="1416740"/>
          <a:ext cx="1041800" cy="1070113"/>
        </a:xfrm>
        <a:prstGeom prst="rect">
          <a:avLst/>
        </a:prstGeom>
      </xdr:spPr>
    </xdr:pic>
    <xdr:clientData/>
  </xdr:twoCellAnchor>
  <xdr:twoCellAnchor editAs="oneCell">
    <xdr:from>
      <xdr:col>4</xdr:col>
      <xdr:colOff>16568</xdr:colOff>
      <xdr:row>22</xdr:row>
      <xdr:rowOff>16565</xdr:rowOff>
    </xdr:from>
    <xdr:to>
      <xdr:col>14</xdr:col>
      <xdr:colOff>67417</xdr:colOff>
      <xdr:row>30</xdr:row>
      <xdr:rowOff>107676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CF7A905-3ED0-4131-B567-90C5F7910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8518" y="2921690"/>
          <a:ext cx="1260524" cy="1005509"/>
        </a:xfrm>
        <a:prstGeom prst="rect">
          <a:avLst/>
        </a:prstGeom>
      </xdr:spPr>
    </xdr:pic>
    <xdr:clientData/>
  </xdr:twoCellAnchor>
  <xdr:twoCellAnchor editAs="oneCell">
    <xdr:from>
      <xdr:col>20</xdr:col>
      <xdr:colOff>57977</xdr:colOff>
      <xdr:row>22</xdr:row>
      <xdr:rowOff>24848</xdr:rowOff>
    </xdr:from>
    <xdr:to>
      <xdr:col>31</xdr:col>
      <xdr:colOff>8283</xdr:colOff>
      <xdr:row>31</xdr:row>
      <xdr:rowOff>39023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4A1BEAC-18F8-4740-A48E-B164ABD4F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77302" y="2929973"/>
          <a:ext cx="1245706" cy="1042875"/>
        </a:xfrm>
        <a:prstGeom prst="rect">
          <a:avLst/>
        </a:prstGeom>
      </xdr:spPr>
    </xdr:pic>
    <xdr:clientData/>
  </xdr:twoCellAnchor>
  <xdr:twoCellAnchor editAs="oneCell">
    <xdr:from>
      <xdr:col>37</xdr:col>
      <xdr:colOff>24850</xdr:colOff>
      <xdr:row>21</xdr:row>
      <xdr:rowOff>107674</xdr:rowOff>
    </xdr:from>
    <xdr:to>
      <xdr:col>47</xdr:col>
      <xdr:colOff>16566</xdr:colOff>
      <xdr:row>31</xdr:row>
      <xdr:rowOff>8845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9D6F9A8-4E12-462C-B2B2-02A5A079D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87275" y="2898499"/>
          <a:ext cx="1144241" cy="1044173"/>
        </a:xfrm>
        <a:prstGeom prst="rect">
          <a:avLst/>
        </a:prstGeom>
      </xdr:spPr>
    </xdr:pic>
    <xdr:clientData/>
  </xdr:twoCellAnchor>
  <xdr:twoCellAnchor editAs="oneCell">
    <xdr:from>
      <xdr:col>52</xdr:col>
      <xdr:colOff>107673</xdr:colOff>
      <xdr:row>22</xdr:row>
      <xdr:rowOff>41413</xdr:rowOff>
    </xdr:from>
    <xdr:to>
      <xdr:col>63</xdr:col>
      <xdr:colOff>66260</xdr:colOff>
      <xdr:row>31</xdr:row>
      <xdr:rowOff>63584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C816FC1-EF48-4B7B-8F77-F89F3775E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27448" y="2946538"/>
          <a:ext cx="1253987" cy="1050871"/>
        </a:xfrm>
        <a:prstGeom prst="rect">
          <a:avLst/>
        </a:prstGeom>
      </xdr:spPr>
    </xdr:pic>
    <xdr:clientData/>
  </xdr:twoCellAnchor>
  <xdr:twoCellAnchor editAs="oneCell">
    <xdr:from>
      <xdr:col>3</xdr:col>
      <xdr:colOff>82826</xdr:colOff>
      <xdr:row>36</xdr:row>
      <xdr:rowOff>8282</xdr:rowOff>
    </xdr:from>
    <xdr:to>
      <xdr:col>13</xdr:col>
      <xdr:colOff>91455</xdr:colOff>
      <xdr:row>45</xdr:row>
      <xdr:rowOff>13295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CD2A7C3-24A5-45EA-A8C5-7D2E3534C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476" y="4418357"/>
          <a:ext cx="1180204" cy="1033713"/>
        </a:xfrm>
        <a:prstGeom prst="rect">
          <a:avLst/>
        </a:prstGeom>
      </xdr:spPr>
    </xdr:pic>
    <xdr:clientData/>
  </xdr:twoCellAnchor>
  <xdr:twoCellAnchor editAs="oneCell">
    <xdr:from>
      <xdr:col>21</xdr:col>
      <xdr:colOff>41414</xdr:colOff>
      <xdr:row>36</xdr:row>
      <xdr:rowOff>41412</xdr:rowOff>
    </xdr:from>
    <xdr:to>
      <xdr:col>29</xdr:col>
      <xdr:colOff>41413</xdr:colOff>
      <xdr:row>45</xdr:row>
      <xdr:rowOff>19054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7F531C8-86A0-4661-A9D9-1DD65C4AD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5039" y="4451487"/>
          <a:ext cx="952499" cy="1006342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35</xdr:row>
      <xdr:rowOff>0</xdr:rowOff>
    </xdr:from>
    <xdr:to>
      <xdr:col>47</xdr:col>
      <xdr:colOff>99391</xdr:colOff>
      <xdr:row>44</xdr:row>
      <xdr:rowOff>78879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BA2055D-A654-4892-B855-D2168B15FD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05225" y="4295775"/>
          <a:ext cx="1709116" cy="1107579"/>
        </a:xfrm>
        <a:prstGeom prst="rect">
          <a:avLst/>
        </a:prstGeom>
      </xdr:spPr>
    </xdr:pic>
    <xdr:clientData/>
  </xdr:twoCellAnchor>
  <xdr:twoCellAnchor editAs="oneCell">
    <xdr:from>
      <xdr:col>49</xdr:col>
      <xdr:colOff>91109</xdr:colOff>
      <xdr:row>36</xdr:row>
      <xdr:rowOff>24848</xdr:rowOff>
    </xdr:from>
    <xdr:to>
      <xdr:col>63</xdr:col>
      <xdr:colOff>57979</xdr:colOff>
      <xdr:row>44</xdr:row>
      <xdr:rowOff>94451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3A65F26-2553-4526-85AE-53795A519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39409" y="4434923"/>
          <a:ext cx="1633745" cy="984001"/>
        </a:xfrm>
        <a:prstGeom prst="rect">
          <a:avLst/>
        </a:prstGeom>
      </xdr:spPr>
    </xdr:pic>
    <xdr:clientData/>
  </xdr:twoCellAnchor>
  <xdr:twoCellAnchor editAs="oneCell">
    <xdr:from>
      <xdr:col>4</xdr:col>
      <xdr:colOff>2</xdr:colOff>
      <xdr:row>50</xdr:row>
      <xdr:rowOff>16565</xdr:rowOff>
    </xdr:from>
    <xdr:to>
      <xdr:col>14</xdr:col>
      <xdr:colOff>46096</xdr:colOff>
      <xdr:row>59</xdr:row>
      <xdr:rowOff>24848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AE04F7A-E03B-4C51-A0B8-F894BDF79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1952" y="5931590"/>
          <a:ext cx="1255769" cy="1036983"/>
        </a:xfrm>
        <a:prstGeom prst="rect">
          <a:avLst/>
        </a:prstGeom>
      </xdr:spPr>
    </xdr:pic>
    <xdr:clientData/>
  </xdr:twoCellAnchor>
  <xdr:twoCellAnchor editAs="oneCell">
    <xdr:from>
      <xdr:col>19</xdr:col>
      <xdr:colOff>33131</xdr:colOff>
      <xdr:row>50</xdr:row>
      <xdr:rowOff>8284</xdr:rowOff>
    </xdr:from>
    <xdr:to>
      <xdr:col>28</xdr:col>
      <xdr:colOff>124239</xdr:colOff>
      <xdr:row>58</xdr:row>
      <xdr:rowOff>99693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7A27B2D-FE51-4F6B-B04F-4490CB916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8156" y="5923309"/>
          <a:ext cx="1129333" cy="1005807"/>
        </a:xfrm>
        <a:prstGeom prst="rect">
          <a:avLst/>
        </a:prstGeom>
      </xdr:spPr>
    </xdr:pic>
    <xdr:clientData/>
  </xdr:twoCellAnchor>
  <xdr:twoCellAnchor editAs="oneCell">
    <xdr:from>
      <xdr:col>33</xdr:col>
      <xdr:colOff>107673</xdr:colOff>
      <xdr:row>50</xdr:row>
      <xdr:rowOff>99391</xdr:rowOff>
    </xdr:from>
    <xdr:to>
      <xdr:col>47</xdr:col>
      <xdr:colOff>82825</xdr:colOff>
      <xdr:row>58</xdr:row>
      <xdr:rowOff>54771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916AB80-BEEB-423A-8816-3BD5C3989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2898" y="6014416"/>
          <a:ext cx="1584877" cy="869778"/>
        </a:xfrm>
        <a:prstGeom prst="rect">
          <a:avLst/>
        </a:prstGeom>
      </xdr:spPr>
    </xdr:pic>
    <xdr:clientData/>
  </xdr:twoCellAnchor>
  <xdr:twoCellAnchor editAs="oneCell">
    <xdr:from>
      <xdr:col>51</xdr:col>
      <xdr:colOff>8281</xdr:colOff>
      <xdr:row>50</xdr:row>
      <xdr:rowOff>24846</xdr:rowOff>
    </xdr:from>
    <xdr:to>
      <xdr:col>62</xdr:col>
      <xdr:colOff>57977</xdr:colOff>
      <xdr:row>59</xdr:row>
      <xdr:rowOff>1571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BEB03C3-959F-498B-B507-7B6DE9640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3756" y="5939871"/>
          <a:ext cx="1345096" cy="1005425"/>
        </a:xfrm>
        <a:prstGeom prst="rect">
          <a:avLst/>
        </a:prstGeom>
      </xdr:spPr>
    </xdr:pic>
    <xdr:clientData/>
  </xdr:twoCellAnchor>
  <xdr:twoCellAnchor editAs="oneCell">
    <xdr:from>
      <xdr:col>38</xdr:col>
      <xdr:colOff>1</xdr:colOff>
      <xdr:row>64</xdr:row>
      <xdr:rowOff>16566</xdr:rowOff>
    </xdr:from>
    <xdr:to>
      <xdr:col>45</xdr:col>
      <xdr:colOff>82827</xdr:colOff>
      <xdr:row>73</xdr:row>
      <xdr:rowOff>40462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24AF72C-E845-48B4-9D3D-E3DD0196FB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76726" y="7436541"/>
          <a:ext cx="892451" cy="1052596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64</xdr:row>
      <xdr:rowOff>8283</xdr:rowOff>
    </xdr:from>
    <xdr:to>
      <xdr:col>62</xdr:col>
      <xdr:colOff>49695</xdr:colOff>
      <xdr:row>73</xdr:row>
      <xdr:rowOff>105288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F938A59-EA55-427A-8512-3BD2BB09D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1175" y="7428258"/>
          <a:ext cx="1459395" cy="1125705"/>
        </a:xfrm>
        <a:prstGeom prst="rect">
          <a:avLst/>
        </a:prstGeom>
      </xdr:spPr>
    </xdr:pic>
    <xdr:clientData/>
  </xdr:twoCellAnchor>
  <xdr:twoCellAnchor editAs="oneCell">
    <xdr:from>
      <xdr:col>3</xdr:col>
      <xdr:colOff>74544</xdr:colOff>
      <xdr:row>78</xdr:row>
      <xdr:rowOff>24847</xdr:rowOff>
    </xdr:from>
    <xdr:to>
      <xdr:col>12</xdr:col>
      <xdr:colOff>82826</xdr:colOff>
      <xdr:row>88</xdr:row>
      <xdr:rowOff>11739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9429D87-5CB9-4F3D-A29C-44939152A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2194" y="8949772"/>
          <a:ext cx="1065557" cy="1129890"/>
        </a:xfrm>
        <a:prstGeom prst="rect">
          <a:avLst/>
        </a:prstGeom>
      </xdr:spPr>
    </xdr:pic>
    <xdr:clientData/>
  </xdr:twoCellAnchor>
  <xdr:twoCellAnchor editAs="oneCell">
    <xdr:from>
      <xdr:col>17</xdr:col>
      <xdr:colOff>99392</xdr:colOff>
      <xdr:row>78</xdr:row>
      <xdr:rowOff>8284</xdr:rowOff>
    </xdr:from>
    <xdr:to>
      <xdr:col>30</xdr:col>
      <xdr:colOff>99392</xdr:colOff>
      <xdr:row>86</xdr:row>
      <xdr:rowOff>97389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4547A6D-DF3C-474E-9320-1B8B63DE22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6767" y="8933209"/>
          <a:ext cx="1543050" cy="1003503"/>
        </a:xfrm>
        <a:prstGeom prst="rect">
          <a:avLst/>
        </a:prstGeom>
      </xdr:spPr>
    </xdr:pic>
    <xdr:clientData/>
  </xdr:twoCellAnchor>
  <xdr:twoCellAnchor editAs="oneCell">
    <xdr:from>
      <xdr:col>34</xdr:col>
      <xdr:colOff>8282</xdr:colOff>
      <xdr:row>78</xdr:row>
      <xdr:rowOff>41413</xdr:rowOff>
    </xdr:from>
    <xdr:to>
      <xdr:col>47</xdr:col>
      <xdr:colOff>57978</xdr:colOff>
      <xdr:row>86</xdr:row>
      <xdr:rowOff>79101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434CF686-BAA3-4228-9FD2-E835BCD17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7807" y="8966338"/>
          <a:ext cx="1545121" cy="952086"/>
        </a:xfrm>
        <a:prstGeom prst="rect">
          <a:avLst/>
        </a:prstGeom>
      </xdr:spPr>
    </xdr:pic>
    <xdr:clientData/>
  </xdr:twoCellAnchor>
  <xdr:twoCellAnchor editAs="oneCell">
    <xdr:from>
      <xdr:col>52</xdr:col>
      <xdr:colOff>107673</xdr:colOff>
      <xdr:row>78</xdr:row>
      <xdr:rowOff>24849</xdr:rowOff>
    </xdr:from>
    <xdr:to>
      <xdr:col>60</xdr:col>
      <xdr:colOff>115956</xdr:colOff>
      <xdr:row>88</xdr:row>
      <xdr:rowOff>76347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8BB535D-A566-4D18-BBC1-A38F02CA5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27448" y="8949774"/>
          <a:ext cx="932208" cy="1194496"/>
        </a:xfrm>
        <a:prstGeom prst="rect">
          <a:avLst/>
        </a:prstGeom>
      </xdr:spPr>
    </xdr:pic>
    <xdr:clientData/>
  </xdr:twoCellAnchor>
  <xdr:twoCellAnchor editAs="oneCell">
    <xdr:from>
      <xdr:col>62</xdr:col>
      <xdr:colOff>49737</xdr:colOff>
      <xdr:row>0</xdr:row>
      <xdr:rowOff>689587</xdr:rowOff>
    </xdr:from>
    <xdr:to>
      <xdr:col>65</xdr:col>
      <xdr:colOff>218873</xdr:colOff>
      <xdr:row>1</xdr:row>
      <xdr:rowOff>144373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4CDDC4E-6C2C-4B23-9494-1376B32EC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18134">
          <a:off x="7106520" y="689587"/>
          <a:ext cx="550964" cy="606069"/>
        </a:xfrm>
        <a:prstGeom prst="rect">
          <a:avLst/>
        </a:prstGeom>
      </xdr:spPr>
    </xdr:pic>
    <xdr:clientData/>
  </xdr:twoCellAnchor>
  <xdr:twoCellAnchor editAs="oneCell">
    <xdr:from>
      <xdr:col>12</xdr:col>
      <xdr:colOff>50110</xdr:colOff>
      <xdr:row>0</xdr:row>
      <xdr:rowOff>114300</xdr:rowOff>
    </xdr:from>
    <xdr:to>
      <xdr:col>44</xdr:col>
      <xdr:colOff>47625</xdr:colOff>
      <xdr:row>0</xdr:row>
      <xdr:rowOff>1027872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2011688-50F0-4E94-A32D-278ED045B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035" y="114300"/>
          <a:ext cx="3845615" cy="913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114299</xdr:colOff>
      <xdr:row>91</xdr:row>
      <xdr:rowOff>76200</xdr:rowOff>
    </xdr:from>
    <xdr:to>
      <xdr:col>58</xdr:col>
      <xdr:colOff>114299</xdr:colOff>
      <xdr:row>123</xdr:row>
      <xdr:rowOff>106337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CCA2584-FA08-4277-9781-6321333FC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9" y="11039475"/>
          <a:ext cx="5934075" cy="3687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106339</xdr:rowOff>
    </xdr:from>
    <xdr:to>
      <xdr:col>63</xdr:col>
      <xdr:colOff>130822</xdr:colOff>
      <xdr:row>177</xdr:row>
      <xdr:rowOff>49189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363CAE1-82AE-4707-9571-75DCD8067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841514"/>
          <a:ext cx="7503172" cy="6000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558800</xdr:colOff>
      <xdr:row>70</xdr:row>
      <xdr:rowOff>88900</xdr:rowOff>
    </xdr:from>
    <xdr:to>
      <xdr:col>1</xdr:col>
      <xdr:colOff>1822407</xdr:colOff>
      <xdr:row>70</xdr:row>
      <xdr:rowOff>1348900</xdr:rowOff>
    </xdr:to>
    <xdr:pic>
      <xdr:nvPicPr>
        <xdr:cNvPr id="2" name="Рисунок 1" descr="http://www.mudryfilin.ru/ajax/return-images/?name=2891.jpg&amp;size=350">
          <a:extLst>
            <a:ext uri="{FF2B5EF4-FFF2-40B4-BE49-F238E27FC236}">
              <a16:creationId xmlns:a16="http://schemas.microsoft.com/office/drawing/2014/main" id="{C5D3BACF-0FCC-4199-817C-BF02660F5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7125" y="126514225"/>
          <a:ext cx="1263607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749300</xdr:colOff>
      <xdr:row>71</xdr:row>
      <xdr:rowOff>127000</xdr:rowOff>
    </xdr:from>
    <xdr:to>
      <xdr:col>1</xdr:col>
      <xdr:colOff>1669052</xdr:colOff>
      <xdr:row>71</xdr:row>
      <xdr:rowOff>1387000</xdr:rowOff>
    </xdr:to>
    <xdr:pic>
      <xdr:nvPicPr>
        <xdr:cNvPr id="3" name="Рисунок 2" descr="http://www.mudryfilin.ru/ajax/return-images/?name=2894.jpg&amp;size=350">
          <a:extLst>
            <a:ext uri="{FF2B5EF4-FFF2-40B4-BE49-F238E27FC236}">
              <a16:creationId xmlns:a16="http://schemas.microsoft.com/office/drawing/2014/main" id="{C51B3FE8-603C-4EA2-B672-03D6B05AB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7625" y="128066800"/>
          <a:ext cx="919752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655917</xdr:colOff>
      <xdr:row>72</xdr:row>
      <xdr:rowOff>115794</xdr:rowOff>
    </xdr:from>
    <xdr:to>
      <xdr:col>1</xdr:col>
      <xdr:colOff>1919524</xdr:colOff>
      <xdr:row>72</xdr:row>
      <xdr:rowOff>1375794</xdr:rowOff>
    </xdr:to>
    <xdr:pic>
      <xdr:nvPicPr>
        <xdr:cNvPr id="4" name="Рисунок 3" descr="http://www.mudryfilin.ru/ajax/return-images/?name=2895.jpg&amp;size=350">
          <a:extLst>
            <a:ext uri="{FF2B5EF4-FFF2-40B4-BE49-F238E27FC236}">
              <a16:creationId xmlns:a16="http://schemas.microsoft.com/office/drawing/2014/main" id="{6550EB5D-1E63-4DF0-BECA-C22421A18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4242" y="129570069"/>
          <a:ext cx="1263607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504825</xdr:colOff>
      <xdr:row>2</xdr:row>
      <xdr:rowOff>66675</xdr:rowOff>
    </xdr:from>
    <xdr:to>
      <xdr:col>1</xdr:col>
      <xdr:colOff>2200275</xdr:colOff>
      <xdr:row>2</xdr:row>
      <xdr:rowOff>1762125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127FF3B-93CF-430E-B3C9-988303AD5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0" y="590550"/>
          <a:ext cx="1647825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1</xdr:col>
      <xdr:colOff>420781</xdr:colOff>
      <xdr:row>4</xdr:row>
      <xdr:rowOff>47626</xdr:rowOff>
    </xdr:from>
    <xdr:to>
      <xdr:col>1</xdr:col>
      <xdr:colOff>2085751</xdr:colOff>
      <xdr:row>4</xdr:row>
      <xdr:rowOff>1743076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AE356B7-0574-4669-A5CC-A45DC7528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9106" y="4133851"/>
          <a:ext cx="1664970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6</xdr:row>
      <xdr:rowOff>28574</xdr:rowOff>
    </xdr:from>
    <xdr:to>
      <xdr:col>1</xdr:col>
      <xdr:colOff>2095501</xdr:colOff>
      <xdr:row>6</xdr:row>
      <xdr:rowOff>1743075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7A4FAFF-CC16-4376-96B1-3364B6B3E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9325" y="7658099"/>
          <a:ext cx="1714501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663948</xdr:colOff>
      <xdr:row>74</xdr:row>
      <xdr:rowOff>114300</xdr:rowOff>
    </xdr:from>
    <xdr:to>
      <xdr:col>1</xdr:col>
      <xdr:colOff>1940297</xdr:colOff>
      <xdr:row>74</xdr:row>
      <xdr:rowOff>1390649</xdr:rowOff>
    </xdr:to>
    <xdr:pic>
      <xdr:nvPicPr>
        <xdr:cNvPr id="8" name="Рисунок 7" descr="http://goldenhohloma.com/upload/prv_stul_2.jpg">
          <a:extLst>
            <a:ext uri="{FF2B5EF4-FFF2-40B4-BE49-F238E27FC236}">
              <a16:creationId xmlns:a16="http://schemas.microsoft.com/office/drawing/2014/main" id="{2AAAFB01-B32A-4B69-8382-A142A1CA6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2273" y="132597525"/>
          <a:ext cx="1276349" cy="127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533401</xdr:colOff>
      <xdr:row>73</xdr:row>
      <xdr:rowOff>142874</xdr:rowOff>
    </xdr:from>
    <xdr:to>
      <xdr:col>1</xdr:col>
      <xdr:colOff>1771651</xdr:colOff>
      <xdr:row>73</xdr:row>
      <xdr:rowOff>1381124</xdr:rowOff>
    </xdr:to>
    <xdr:pic>
      <xdr:nvPicPr>
        <xdr:cNvPr id="9" name="Рисунок 8" descr="http://tdkarusel.ru/sites/default/files/styles/original/public/30_10.jpg?itok=AO5I5N5_">
          <a:extLst>
            <a:ext uri="{FF2B5EF4-FFF2-40B4-BE49-F238E27FC236}">
              <a16:creationId xmlns:a16="http://schemas.microsoft.com/office/drawing/2014/main" id="{DF0419A9-69E9-47FE-9D63-2E9B9DC20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1726" y="131111624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694766</xdr:colOff>
      <xdr:row>7</xdr:row>
      <xdr:rowOff>74398</xdr:rowOff>
    </xdr:from>
    <xdr:to>
      <xdr:col>1</xdr:col>
      <xdr:colOff>1736912</xdr:colOff>
      <xdr:row>7</xdr:row>
      <xdr:rowOff>1671355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9559B75-8212-43A7-BC56-1E1A84D26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3091" y="9475573"/>
          <a:ext cx="1042146" cy="1596957"/>
        </a:xfrm>
        <a:prstGeom prst="rect">
          <a:avLst/>
        </a:prstGeom>
      </xdr:spPr>
    </xdr:pic>
    <xdr:clientData/>
  </xdr:twoCellAnchor>
  <xdr:twoCellAnchor>
    <xdr:from>
      <xdr:col>1</xdr:col>
      <xdr:colOff>649941</xdr:colOff>
      <xdr:row>8</xdr:row>
      <xdr:rowOff>100853</xdr:rowOff>
    </xdr:from>
    <xdr:to>
      <xdr:col>1</xdr:col>
      <xdr:colOff>1660199</xdr:colOff>
      <xdr:row>8</xdr:row>
      <xdr:rowOff>1648945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BDC1335-33E0-4B78-B75D-52970FFE3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266" y="11273678"/>
          <a:ext cx="1010258" cy="1548092"/>
        </a:xfrm>
        <a:prstGeom prst="rect">
          <a:avLst/>
        </a:prstGeom>
      </xdr:spPr>
    </xdr:pic>
    <xdr:clientData/>
  </xdr:twoCellAnchor>
  <xdr:twoCellAnchor>
    <xdr:from>
      <xdr:col>1</xdr:col>
      <xdr:colOff>582706</xdr:colOff>
      <xdr:row>9</xdr:row>
      <xdr:rowOff>89645</xdr:rowOff>
    </xdr:from>
    <xdr:to>
      <xdr:col>1</xdr:col>
      <xdr:colOff>1651465</xdr:colOff>
      <xdr:row>9</xdr:row>
      <xdr:rowOff>1727384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711DC47-3F58-4377-ACC5-48B2672E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031" y="13034120"/>
          <a:ext cx="1068759" cy="1637739"/>
        </a:xfrm>
        <a:prstGeom prst="rect">
          <a:avLst/>
        </a:prstGeom>
      </xdr:spPr>
    </xdr:pic>
    <xdr:clientData/>
  </xdr:twoCellAnchor>
  <xdr:twoCellAnchor>
    <xdr:from>
      <xdr:col>1</xdr:col>
      <xdr:colOff>649940</xdr:colOff>
      <xdr:row>11</xdr:row>
      <xdr:rowOff>89647</xdr:rowOff>
    </xdr:from>
    <xdr:to>
      <xdr:col>1</xdr:col>
      <xdr:colOff>2006170</xdr:colOff>
      <xdr:row>11</xdr:row>
      <xdr:rowOff>1671915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F03F285-DAD6-4DD7-BE9A-83E9362BD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265" y="16577422"/>
          <a:ext cx="1356230" cy="1582268"/>
        </a:xfrm>
        <a:prstGeom prst="rect">
          <a:avLst/>
        </a:prstGeom>
      </xdr:spPr>
    </xdr:pic>
    <xdr:clientData/>
  </xdr:twoCellAnchor>
  <xdr:twoCellAnchor>
    <xdr:from>
      <xdr:col>1</xdr:col>
      <xdr:colOff>649941</xdr:colOff>
      <xdr:row>12</xdr:row>
      <xdr:rowOff>103093</xdr:rowOff>
    </xdr:from>
    <xdr:to>
      <xdr:col>1</xdr:col>
      <xdr:colOff>2011937</xdr:colOff>
      <xdr:row>12</xdr:row>
      <xdr:rowOff>1692089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42F197C-E0B2-4181-A3D7-4B1540F05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266" y="18362518"/>
          <a:ext cx="1361996" cy="1588996"/>
        </a:xfrm>
        <a:prstGeom prst="rect">
          <a:avLst/>
        </a:prstGeom>
      </xdr:spPr>
    </xdr:pic>
    <xdr:clientData/>
  </xdr:twoCellAnchor>
  <xdr:twoCellAnchor>
    <xdr:from>
      <xdr:col>1</xdr:col>
      <xdr:colOff>593913</xdr:colOff>
      <xdr:row>13</xdr:row>
      <xdr:rowOff>100853</xdr:rowOff>
    </xdr:from>
    <xdr:to>
      <xdr:col>1</xdr:col>
      <xdr:colOff>2017058</xdr:colOff>
      <xdr:row>13</xdr:row>
      <xdr:rowOff>1761188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1BBDC8A-8742-487C-A382-0E898CA9B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2238" y="20131928"/>
          <a:ext cx="1423145" cy="1660335"/>
        </a:xfrm>
        <a:prstGeom prst="rect">
          <a:avLst/>
        </a:prstGeom>
      </xdr:spPr>
    </xdr:pic>
    <xdr:clientData/>
  </xdr:twoCellAnchor>
  <xdr:twoCellAnchor>
    <xdr:from>
      <xdr:col>1</xdr:col>
      <xdr:colOff>616322</xdr:colOff>
      <xdr:row>14</xdr:row>
      <xdr:rowOff>54535</xdr:rowOff>
    </xdr:from>
    <xdr:to>
      <xdr:col>1</xdr:col>
      <xdr:colOff>2117910</xdr:colOff>
      <xdr:row>14</xdr:row>
      <xdr:rowOff>1806388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BE4AB23-C979-4B0B-A231-2A1E657EA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647" y="22000135"/>
          <a:ext cx="1501588" cy="1751853"/>
        </a:xfrm>
        <a:prstGeom prst="rect">
          <a:avLst/>
        </a:prstGeom>
      </xdr:spPr>
    </xdr:pic>
    <xdr:clientData/>
  </xdr:twoCellAnchor>
  <xdr:twoCellAnchor>
    <xdr:from>
      <xdr:col>1</xdr:col>
      <xdr:colOff>593912</xdr:colOff>
      <xdr:row>15</xdr:row>
      <xdr:rowOff>33619</xdr:rowOff>
    </xdr:from>
    <xdr:to>
      <xdr:col>1</xdr:col>
      <xdr:colOff>2132638</xdr:colOff>
      <xdr:row>15</xdr:row>
      <xdr:rowOff>1828799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1722C37-C041-49FA-A50F-3584E4377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2237" y="23874694"/>
          <a:ext cx="1538726" cy="1795180"/>
        </a:xfrm>
        <a:prstGeom prst="rect">
          <a:avLst/>
        </a:prstGeom>
      </xdr:spPr>
    </xdr:pic>
    <xdr:clientData/>
  </xdr:twoCellAnchor>
  <xdr:twoCellAnchor>
    <xdr:from>
      <xdr:col>1</xdr:col>
      <xdr:colOff>605121</xdr:colOff>
      <xdr:row>16</xdr:row>
      <xdr:rowOff>67236</xdr:rowOff>
    </xdr:from>
    <xdr:to>
      <xdr:col>1</xdr:col>
      <xdr:colOff>2162735</xdr:colOff>
      <xdr:row>16</xdr:row>
      <xdr:rowOff>1884453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2B565FB-91EE-453C-ACEC-F3B060DBC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3446" y="25813311"/>
          <a:ext cx="1548089" cy="1817217"/>
        </a:xfrm>
        <a:prstGeom prst="rect">
          <a:avLst/>
        </a:prstGeom>
      </xdr:spPr>
    </xdr:pic>
    <xdr:clientData/>
  </xdr:twoCellAnchor>
  <xdr:twoCellAnchor>
    <xdr:from>
      <xdr:col>1</xdr:col>
      <xdr:colOff>493060</xdr:colOff>
      <xdr:row>18</xdr:row>
      <xdr:rowOff>115645</xdr:rowOff>
    </xdr:from>
    <xdr:to>
      <xdr:col>1</xdr:col>
      <xdr:colOff>1826559</xdr:colOff>
      <xdr:row>18</xdr:row>
      <xdr:rowOff>1715844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C04E316-B140-48B2-B9A4-C9AD83D7E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1385" y="29557420"/>
          <a:ext cx="1333499" cy="1600199"/>
        </a:xfrm>
        <a:prstGeom prst="rect">
          <a:avLst/>
        </a:prstGeom>
      </xdr:spPr>
    </xdr:pic>
    <xdr:clientData/>
  </xdr:twoCellAnchor>
  <xdr:twoCellAnchor>
    <xdr:from>
      <xdr:col>1</xdr:col>
      <xdr:colOff>403413</xdr:colOff>
      <xdr:row>19</xdr:row>
      <xdr:rowOff>95472</xdr:rowOff>
    </xdr:from>
    <xdr:to>
      <xdr:col>1</xdr:col>
      <xdr:colOff>1736911</xdr:colOff>
      <xdr:row>19</xdr:row>
      <xdr:rowOff>1695669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3BFF598-083C-4B29-9231-A7154BEBD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738" y="31308897"/>
          <a:ext cx="1333498" cy="1600197"/>
        </a:xfrm>
        <a:prstGeom prst="rect">
          <a:avLst/>
        </a:prstGeom>
      </xdr:spPr>
    </xdr:pic>
    <xdr:clientData/>
  </xdr:twoCellAnchor>
  <xdr:twoCellAnchor>
    <xdr:from>
      <xdr:col>1</xdr:col>
      <xdr:colOff>369795</xdr:colOff>
      <xdr:row>20</xdr:row>
      <xdr:rowOff>28236</xdr:rowOff>
    </xdr:from>
    <xdr:to>
      <xdr:col>1</xdr:col>
      <xdr:colOff>1793691</xdr:colOff>
      <xdr:row>20</xdr:row>
      <xdr:rowOff>1736911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88F6794-F8B3-488B-872B-1ADF1027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120" y="33013311"/>
          <a:ext cx="1423896" cy="1708675"/>
        </a:xfrm>
        <a:prstGeom prst="rect">
          <a:avLst/>
        </a:prstGeom>
      </xdr:spPr>
    </xdr:pic>
    <xdr:clientData/>
  </xdr:twoCellAnchor>
  <xdr:twoCellAnchor>
    <xdr:from>
      <xdr:col>1</xdr:col>
      <xdr:colOff>403412</xdr:colOff>
      <xdr:row>21</xdr:row>
      <xdr:rowOff>52889</xdr:rowOff>
    </xdr:from>
    <xdr:to>
      <xdr:col>1</xdr:col>
      <xdr:colOff>1837766</xdr:colOff>
      <xdr:row>21</xdr:row>
      <xdr:rowOff>1774114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0C5F6B7-1619-4C55-8D5D-19A2E3A1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737" y="34809614"/>
          <a:ext cx="1434354" cy="1721225"/>
        </a:xfrm>
        <a:prstGeom prst="rect">
          <a:avLst/>
        </a:prstGeom>
      </xdr:spPr>
    </xdr:pic>
    <xdr:clientData/>
  </xdr:twoCellAnchor>
  <xdr:twoCellAnchor>
    <xdr:from>
      <xdr:col>1</xdr:col>
      <xdr:colOff>240926</xdr:colOff>
      <xdr:row>22</xdr:row>
      <xdr:rowOff>112058</xdr:rowOff>
    </xdr:from>
    <xdr:to>
      <xdr:col>1</xdr:col>
      <xdr:colOff>1837764</xdr:colOff>
      <xdr:row>22</xdr:row>
      <xdr:rowOff>2028264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E67638E-0128-40E3-B7A3-96C5E485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251" y="36707108"/>
          <a:ext cx="1596838" cy="1916206"/>
        </a:xfrm>
        <a:prstGeom prst="rect">
          <a:avLst/>
        </a:prstGeom>
      </xdr:spPr>
    </xdr:pic>
    <xdr:clientData/>
  </xdr:twoCellAnchor>
  <xdr:twoCellAnchor>
    <xdr:from>
      <xdr:col>1</xdr:col>
      <xdr:colOff>381001</xdr:colOff>
      <xdr:row>23</xdr:row>
      <xdr:rowOff>57373</xdr:rowOff>
    </xdr:from>
    <xdr:to>
      <xdr:col>1</xdr:col>
      <xdr:colOff>1792941</xdr:colOff>
      <xdr:row>23</xdr:row>
      <xdr:rowOff>1751700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3E5DDCB-1551-44E7-B4E3-FE5EC517E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326" y="38747923"/>
          <a:ext cx="1411940" cy="1694327"/>
        </a:xfrm>
        <a:prstGeom prst="rect">
          <a:avLst/>
        </a:prstGeom>
      </xdr:spPr>
    </xdr:pic>
    <xdr:clientData/>
  </xdr:twoCellAnchor>
  <xdr:twoCellAnchor>
    <xdr:from>
      <xdr:col>1</xdr:col>
      <xdr:colOff>155394</xdr:colOff>
      <xdr:row>32</xdr:row>
      <xdr:rowOff>79552</xdr:rowOff>
    </xdr:from>
    <xdr:to>
      <xdr:col>1</xdr:col>
      <xdr:colOff>1774924</xdr:colOff>
      <xdr:row>32</xdr:row>
      <xdr:rowOff>1699082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497F9669-3706-4986-A68D-8356B83C7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3719" y="55515052"/>
          <a:ext cx="1619530" cy="1619530"/>
        </a:xfrm>
        <a:prstGeom prst="rect">
          <a:avLst/>
        </a:prstGeom>
      </xdr:spPr>
    </xdr:pic>
    <xdr:clientData/>
  </xdr:twoCellAnchor>
  <xdr:twoCellAnchor>
    <xdr:from>
      <xdr:col>1</xdr:col>
      <xdr:colOff>329482</xdr:colOff>
      <xdr:row>37</xdr:row>
      <xdr:rowOff>94053</xdr:rowOff>
    </xdr:from>
    <xdr:to>
      <xdr:col>1</xdr:col>
      <xdr:colOff>1949012</xdr:colOff>
      <xdr:row>37</xdr:row>
      <xdr:rowOff>1713583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1F4B305-912E-4B12-B033-AE4EA0FF2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7807" y="65054553"/>
          <a:ext cx="1619530" cy="1619530"/>
        </a:xfrm>
        <a:prstGeom prst="rect">
          <a:avLst/>
        </a:prstGeom>
      </xdr:spPr>
    </xdr:pic>
    <xdr:clientData/>
  </xdr:twoCellAnchor>
  <xdr:twoCellAnchor>
    <xdr:from>
      <xdr:col>1</xdr:col>
      <xdr:colOff>218327</xdr:colOff>
      <xdr:row>35</xdr:row>
      <xdr:rowOff>45532</xdr:rowOff>
    </xdr:from>
    <xdr:to>
      <xdr:col>1</xdr:col>
      <xdr:colOff>1742607</xdr:colOff>
      <xdr:row>35</xdr:row>
      <xdr:rowOff>1665062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E6711DEE-CCCC-494C-95D5-81860CE6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52" y="61196032"/>
          <a:ext cx="1524280" cy="1619530"/>
        </a:xfrm>
        <a:prstGeom prst="rect">
          <a:avLst/>
        </a:prstGeom>
      </xdr:spPr>
    </xdr:pic>
    <xdr:clientData/>
  </xdr:twoCellAnchor>
  <xdr:twoCellAnchor>
    <xdr:from>
      <xdr:col>1</xdr:col>
      <xdr:colOff>235204</xdr:colOff>
      <xdr:row>33</xdr:row>
      <xdr:rowOff>113883</xdr:rowOff>
    </xdr:from>
    <xdr:to>
      <xdr:col>1</xdr:col>
      <xdr:colOff>1854734</xdr:colOff>
      <xdr:row>33</xdr:row>
      <xdr:rowOff>1733413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8E4ED12-6E06-4D98-8EF8-FD4E3CADC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3529" y="57454383"/>
          <a:ext cx="1619530" cy="1619530"/>
        </a:xfrm>
        <a:prstGeom prst="rect">
          <a:avLst/>
        </a:prstGeom>
      </xdr:spPr>
    </xdr:pic>
    <xdr:clientData/>
  </xdr:twoCellAnchor>
  <xdr:twoCellAnchor>
    <xdr:from>
      <xdr:col>1</xdr:col>
      <xdr:colOff>425572</xdr:colOff>
      <xdr:row>36</xdr:row>
      <xdr:rowOff>156500</xdr:rowOff>
    </xdr:from>
    <xdr:to>
      <xdr:col>1</xdr:col>
      <xdr:colOff>2037757</xdr:colOff>
      <xdr:row>36</xdr:row>
      <xdr:rowOff>1776030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45475A64-5A2E-475F-B049-A9DF9471D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897" y="63212000"/>
          <a:ext cx="1612185" cy="1619530"/>
        </a:xfrm>
        <a:prstGeom prst="rect">
          <a:avLst/>
        </a:prstGeom>
      </xdr:spPr>
    </xdr:pic>
    <xdr:clientData/>
  </xdr:twoCellAnchor>
  <xdr:twoCellAnchor>
    <xdr:from>
      <xdr:col>1</xdr:col>
      <xdr:colOff>220299</xdr:colOff>
      <xdr:row>34</xdr:row>
      <xdr:rowOff>116976</xdr:rowOff>
    </xdr:from>
    <xdr:to>
      <xdr:col>1</xdr:col>
      <xdr:colOff>1830304</xdr:colOff>
      <xdr:row>34</xdr:row>
      <xdr:rowOff>1736506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D7B59BA6-32FA-4C28-90A3-CDC48EF6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24" y="59362476"/>
          <a:ext cx="1610005" cy="1619530"/>
        </a:xfrm>
        <a:prstGeom prst="rect">
          <a:avLst/>
        </a:prstGeom>
      </xdr:spPr>
    </xdr:pic>
    <xdr:clientData/>
  </xdr:twoCellAnchor>
  <xdr:twoCellAnchor>
    <xdr:from>
      <xdr:col>1</xdr:col>
      <xdr:colOff>627529</xdr:colOff>
      <xdr:row>24</xdr:row>
      <xdr:rowOff>112059</xdr:rowOff>
    </xdr:from>
    <xdr:to>
      <xdr:col>1</xdr:col>
      <xdr:colOff>1658470</xdr:colOff>
      <xdr:row>24</xdr:row>
      <xdr:rowOff>1607405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2715184-DE3D-4438-8262-592EB40A0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854" y="40574259"/>
          <a:ext cx="1030941" cy="1495346"/>
        </a:xfrm>
        <a:prstGeom prst="rect">
          <a:avLst/>
        </a:prstGeom>
      </xdr:spPr>
    </xdr:pic>
    <xdr:clientData/>
  </xdr:twoCellAnchor>
  <xdr:twoCellAnchor>
    <xdr:from>
      <xdr:col>1</xdr:col>
      <xdr:colOff>661147</xdr:colOff>
      <xdr:row>25</xdr:row>
      <xdr:rowOff>156882</xdr:rowOff>
    </xdr:from>
    <xdr:to>
      <xdr:col>1</xdr:col>
      <xdr:colOff>1692088</xdr:colOff>
      <xdr:row>25</xdr:row>
      <xdr:rowOff>1652228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42969CA-7B00-4414-BC82-6E94AFB13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9472" y="42390732"/>
          <a:ext cx="1030941" cy="1495346"/>
        </a:xfrm>
        <a:prstGeom prst="rect">
          <a:avLst/>
        </a:prstGeom>
      </xdr:spPr>
    </xdr:pic>
    <xdr:clientData/>
  </xdr:twoCellAnchor>
  <xdr:twoCellAnchor>
    <xdr:from>
      <xdr:col>1</xdr:col>
      <xdr:colOff>705970</xdr:colOff>
      <xdr:row>26</xdr:row>
      <xdr:rowOff>123265</xdr:rowOff>
    </xdr:from>
    <xdr:to>
      <xdr:col>1</xdr:col>
      <xdr:colOff>1736911</xdr:colOff>
      <xdr:row>26</xdr:row>
      <xdr:rowOff>1618611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A79DB6A-8DA2-4180-9961-AC1BBB30B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95" y="44262115"/>
          <a:ext cx="1030941" cy="1495346"/>
        </a:xfrm>
        <a:prstGeom prst="rect">
          <a:avLst/>
        </a:prstGeom>
      </xdr:spPr>
    </xdr:pic>
    <xdr:clientData/>
  </xdr:twoCellAnchor>
  <xdr:twoCellAnchor>
    <xdr:from>
      <xdr:col>1</xdr:col>
      <xdr:colOff>425824</xdr:colOff>
      <xdr:row>55</xdr:row>
      <xdr:rowOff>44824</xdr:rowOff>
    </xdr:from>
    <xdr:to>
      <xdr:col>1</xdr:col>
      <xdr:colOff>2203824</xdr:colOff>
      <xdr:row>55</xdr:row>
      <xdr:rowOff>1822824</xdr:rowOff>
    </xdr:to>
    <xdr:pic>
      <xdr:nvPicPr>
        <xdr:cNvPr id="34" name="Рисунок 33" descr="БАБОЧКА.jpg">
          <a:extLst>
            <a:ext uri="{FF2B5EF4-FFF2-40B4-BE49-F238E27FC236}">
              <a16:creationId xmlns:a16="http://schemas.microsoft.com/office/drawing/2014/main" id="{2C3E0ADF-8497-4749-A0FB-738E9241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4149" y="99295324"/>
          <a:ext cx="1730375" cy="1778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56</xdr:row>
      <xdr:rowOff>44823</xdr:rowOff>
    </xdr:from>
    <xdr:to>
      <xdr:col>1</xdr:col>
      <xdr:colOff>2159000</xdr:colOff>
      <xdr:row>56</xdr:row>
      <xdr:rowOff>1822823</xdr:rowOff>
    </xdr:to>
    <xdr:pic>
      <xdr:nvPicPr>
        <xdr:cNvPr id="35" name="Рисунок 34" descr="ЕНОТ.jpg">
          <a:extLst>
            <a:ext uri="{FF2B5EF4-FFF2-40B4-BE49-F238E27FC236}">
              <a16:creationId xmlns:a16="http://schemas.microsoft.com/office/drawing/2014/main" id="{08F881AF-8597-41AF-BFBC-FDDEDF4CD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325" y="101200323"/>
          <a:ext cx="1768475" cy="1778000"/>
        </a:xfrm>
        <a:prstGeom prst="rect">
          <a:avLst/>
        </a:prstGeom>
      </xdr:spPr>
    </xdr:pic>
    <xdr:clientData/>
  </xdr:twoCellAnchor>
  <xdr:twoCellAnchor>
    <xdr:from>
      <xdr:col>1</xdr:col>
      <xdr:colOff>470648</xdr:colOff>
      <xdr:row>57</xdr:row>
      <xdr:rowOff>56029</xdr:rowOff>
    </xdr:from>
    <xdr:to>
      <xdr:col>1</xdr:col>
      <xdr:colOff>2248648</xdr:colOff>
      <xdr:row>57</xdr:row>
      <xdr:rowOff>1834029</xdr:rowOff>
    </xdr:to>
    <xdr:pic>
      <xdr:nvPicPr>
        <xdr:cNvPr id="36" name="Рисунок 35" descr="ЛЯГУШКА.jpg">
          <a:extLst>
            <a:ext uri="{FF2B5EF4-FFF2-40B4-BE49-F238E27FC236}">
              <a16:creationId xmlns:a16="http://schemas.microsoft.com/office/drawing/2014/main" id="{0B2FA180-B211-45C0-9982-B69F59C7F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8973" y="103116529"/>
          <a:ext cx="1682750" cy="1778000"/>
        </a:xfrm>
        <a:prstGeom prst="rect">
          <a:avLst/>
        </a:prstGeom>
      </xdr:spPr>
    </xdr:pic>
    <xdr:clientData/>
  </xdr:twoCellAnchor>
  <xdr:twoCellAnchor>
    <xdr:from>
      <xdr:col>1</xdr:col>
      <xdr:colOff>358588</xdr:colOff>
      <xdr:row>58</xdr:row>
      <xdr:rowOff>56029</xdr:rowOff>
    </xdr:from>
    <xdr:to>
      <xdr:col>1</xdr:col>
      <xdr:colOff>2136588</xdr:colOff>
      <xdr:row>58</xdr:row>
      <xdr:rowOff>1834029</xdr:rowOff>
    </xdr:to>
    <xdr:pic>
      <xdr:nvPicPr>
        <xdr:cNvPr id="37" name="Рисунок 36" descr="МЕДВЕДЬ.jpg">
          <a:extLst>
            <a:ext uri="{FF2B5EF4-FFF2-40B4-BE49-F238E27FC236}">
              <a16:creationId xmlns:a16="http://schemas.microsoft.com/office/drawing/2014/main" id="{66657A0F-686E-4C1D-B81D-B2543E2A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913" y="105021529"/>
          <a:ext cx="1778000" cy="1778000"/>
        </a:xfrm>
        <a:prstGeom prst="rect">
          <a:avLst/>
        </a:prstGeom>
      </xdr:spPr>
    </xdr:pic>
    <xdr:clientData/>
  </xdr:twoCellAnchor>
  <xdr:twoCellAnchor>
    <xdr:from>
      <xdr:col>1</xdr:col>
      <xdr:colOff>437029</xdr:colOff>
      <xdr:row>59</xdr:row>
      <xdr:rowOff>44824</xdr:rowOff>
    </xdr:from>
    <xdr:to>
      <xdr:col>1</xdr:col>
      <xdr:colOff>2215029</xdr:colOff>
      <xdr:row>59</xdr:row>
      <xdr:rowOff>1822824</xdr:rowOff>
    </xdr:to>
    <xdr:pic>
      <xdr:nvPicPr>
        <xdr:cNvPr id="38" name="Рисунок 37" descr="ОБЕЗЬЯНА.jpg">
          <a:extLst>
            <a:ext uri="{FF2B5EF4-FFF2-40B4-BE49-F238E27FC236}">
              <a16:creationId xmlns:a16="http://schemas.microsoft.com/office/drawing/2014/main" id="{8D9346D8-9013-46FB-8D81-9683D44C1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5354" y="106915324"/>
          <a:ext cx="1711325" cy="1778000"/>
        </a:xfrm>
        <a:prstGeom prst="rect">
          <a:avLst/>
        </a:prstGeom>
      </xdr:spPr>
    </xdr:pic>
    <xdr:clientData/>
  </xdr:twoCellAnchor>
  <xdr:twoCellAnchor>
    <xdr:from>
      <xdr:col>1</xdr:col>
      <xdr:colOff>392206</xdr:colOff>
      <xdr:row>60</xdr:row>
      <xdr:rowOff>56029</xdr:rowOff>
    </xdr:from>
    <xdr:to>
      <xdr:col>1</xdr:col>
      <xdr:colOff>2170206</xdr:colOff>
      <xdr:row>60</xdr:row>
      <xdr:rowOff>1834029</xdr:rowOff>
    </xdr:to>
    <xdr:pic>
      <xdr:nvPicPr>
        <xdr:cNvPr id="39" name="Рисунок 38" descr="ПАНДА.jpg">
          <a:extLst>
            <a:ext uri="{FF2B5EF4-FFF2-40B4-BE49-F238E27FC236}">
              <a16:creationId xmlns:a16="http://schemas.microsoft.com/office/drawing/2014/main" id="{183FD1D2-379B-41DD-98CD-213E1EAF4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0531" y="108831529"/>
          <a:ext cx="1758950" cy="1778000"/>
        </a:xfrm>
        <a:prstGeom prst="rect">
          <a:avLst/>
        </a:prstGeom>
      </xdr:spPr>
    </xdr:pic>
    <xdr:clientData/>
  </xdr:twoCellAnchor>
  <xdr:twoCellAnchor>
    <xdr:from>
      <xdr:col>1</xdr:col>
      <xdr:colOff>268942</xdr:colOff>
      <xdr:row>61</xdr:row>
      <xdr:rowOff>56029</xdr:rowOff>
    </xdr:from>
    <xdr:to>
      <xdr:col>1</xdr:col>
      <xdr:colOff>2046942</xdr:colOff>
      <xdr:row>61</xdr:row>
      <xdr:rowOff>1834029</xdr:rowOff>
    </xdr:to>
    <xdr:pic>
      <xdr:nvPicPr>
        <xdr:cNvPr id="40" name="Рисунок 39" descr="ФИЛИН.jpg">
          <a:extLst>
            <a:ext uri="{FF2B5EF4-FFF2-40B4-BE49-F238E27FC236}">
              <a16:creationId xmlns:a16="http://schemas.microsoft.com/office/drawing/2014/main" id="{8E2CE9E7-02C6-430F-BFE8-2F45BDD2D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7267" y="110736529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43</xdr:row>
      <xdr:rowOff>78441</xdr:rowOff>
    </xdr:from>
    <xdr:to>
      <xdr:col>1</xdr:col>
      <xdr:colOff>1912844</xdr:colOff>
      <xdr:row>43</xdr:row>
      <xdr:rowOff>1811991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EF755670-03C2-495B-8F55-FDEA9C2A7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619" y="76468941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268941</xdr:colOff>
      <xdr:row>44</xdr:row>
      <xdr:rowOff>78441</xdr:rowOff>
    </xdr:from>
    <xdr:to>
      <xdr:col>1</xdr:col>
      <xdr:colOff>2002491</xdr:colOff>
      <xdr:row>44</xdr:row>
      <xdr:rowOff>1811991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72029C4-95FF-45CE-9611-1BA45202F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7266" y="78373941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45</xdr:row>
      <xdr:rowOff>123265</xdr:rowOff>
    </xdr:from>
    <xdr:to>
      <xdr:col>1</xdr:col>
      <xdr:colOff>1890432</xdr:colOff>
      <xdr:row>45</xdr:row>
      <xdr:rowOff>1856815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FD5CF557-6975-4DBA-B719-6B2636F5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207" y="80323765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46</xdr:row>
      <xdr:rowOff>123265</xdr:rowOff>
    </xdr:from>
    <xdr:to>
      <xdr:col>1</xdr:col>
      <xdr:colOff>1879227</xdr:colOff>
      <xdr:row>46</xdr:row>
      <xdr:rowOff>1856815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78F9C8B-EC8B-4E5B-9455-0A79C1854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002" y="82228765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47</xdr:row>
      <xdr:rowOff>112059</xdr:rowOff>
    </xdr:from>
    <xdr:to>
      <xdr:col>1</xdr:col>
      <xdr:colOff>1868021</xdr:colOff>
      <xdr:row>47</xdr:row>
      <xdr:rowOff>1845609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8FAC377-5746-4BCA-AD71-1B5D3765E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2796" y="84122559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48</xdr:row>
      <xdr:rowOff>33618</xdr:rowOff>
    </xdr:from>
    <xdr:to>
      <xdr:col>1</xdr:col>
      <xdr:colOff>1845608</xdr:colOff>
      <xdr:row>48</xdr:row>
      <xdr:rowOff>1767168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8C29E8A2-6D56-41C6-B796-9B5DB4F2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383" y="85949118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324971</xdr:colOff>
      <xdr:row>49</xdr:row>
      <xdr:rowOff>67235</xdr:rowOff>
    </xdr:from>
    <xdr:to>
      <xdr:col>1</xdr:col>
      <xdr:colOff>2058521</xdr:colOff>
      <xdr:row>49</xdr:row>
      <xdr:rowOff>1800785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25132925-DCA2-4159-905F-6435E645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3296" y="87887735"/>
          <a:ext cx="1733550" cy="1733550"/>
        </a:xfrm>
        <a:prstGeom prst="rect">
          <a:avLst/>
        </a:prstGeom>
      </xdr:spPr>
    </xdr:pic>
    <xdr:clientData/>
  </xdr:twoCellAnchor>
  <xdr:oneCellAnchor>
    <xdr:from>
      <xdr:col>1</xdr:col>
      <xdr:colOff>773205</xdr:colOff>
      <xdr:row>62</xdr:row>
      <xdr:rowOff>44823</xdr:rowOff>
    </xdr:from>
    <xdr:ext cx="840442" cy="1335150"/>
    <xdr:pic>
      <xdr:nvPicPr>
        <xdr:cNvPr id="48" name="Рисунок 47">
          <a:extLst>
            <a:ext uri="{FF2B5EF4-FFF2-40B4-BE49-F238E27FC236}">
              <a16:creationId xmlns:a16="http://schemas.microsoft.com/office/drawing/2014/main" id="{95EF024C-AED4-4263-825F-8A5A07828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1530" y="112630323"/>
          <a:ext cx="840442" cy="1335150"/>
        </a:xfrm>
        <a:prstGeom prst="rect">
          <a:avLst/>
        </a:prstGeom>
      </xdr:spPr>
    </xdr:pic>
    <xdr:clientData/>
  </xdr:oneCellAnchor>
  <xdr:oneCellAnchor>
    <xdr:from>
      <xdr:col>1</xdr:col>
      <xdr:colOff>728382</xdr:colOff>
      <xdr:row>63</xdr:row>
      <xdr:rowOff>67236</xdr:rowOff>
    </xdr:from>
    <xdr:ext cx="974911" cy="1349987"/>
    <xdr:pic>
      <xdr:nvPicPr>
        <xdr:cNvPr id="49" name="Рисунок 48">
          <a:extLst>
            <a:ext uri="{FF2B5EF4-FFF2-40B4-BE49-F238E27FC236}">
              <a16:creationId xmlns:a16="http://schemas.microsoft.com/office/drawing/2014/main" id="{F3BBFA7E-7A1B-4DE7-A421-CF3893BA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6707" y="114167211"/>
          <a:ext cx="974911" cy="1349987"/>
        </a:xfrm>
        <a:prstGeom prst="rect">
          <a:avLst/>
        </a:prstGeom>
      </xdr:spPr>
    </xdr:pic>
    <xdr:clientData/>
  </xdr:oneCellAnchor>
  <xdr:oneCellAnchor>
    <xdr:from>
      <xdr:col>1</xdr:col>
      <xdr:colOff>840441</xdr:colOff>
      <xdr:row>64</xdr:row>
      <xdr:rowOff>119605</xdr:rowOff>
    </xdr:from>
    <xdr:ext cx="832101" cy="1300583"/>
    <xdr:pic>
      <xdr:nvPicPr>
        <xdr:cNvPr id="50" name="Рисунок 49">
          <a:extLst>
            <a:ext uri="{FF2B5EF4-FFF2-40B4-BE49-F238E27FC236}">
              <a16:creationId xmlns:a16="http://schemas.microsoft.com/office/drawing/2014/main" id="{68A3FDEE-4D7A-4166-8A12-19BF2646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766" y="115734055"/>
          <a:ext cx="832101" cy="1300583"/>
        </a:xfrm>
        <a:prstGeom prst="rect">
          <a:avLst/>
        </a:prstGeom>
      </xdr:spPr>
    </xdr:pic>
    <xdr:clientData/>
  </xdr:oneCellAnchor>
  <xdr:twoCellAnchor editAs="oneCell">
    <xdr:from>
      <xdr:col>6</xdr:col>
      <xdr:colOff>38100</xdr:colOff>
      <xdr:row>65</xdr:row>
      <xdr:rowOff>260697</xdr:rowOff>
    </xdr:from>
    <xdr:to>
      <xdr:col>8</xdr:col>
      <xdr:colOff>306817</xdr:colOff>
      <xdr:row>65</xdr:row>
      <xdr:rowOff>1600294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B630AEE-C507-4FFD-A486-871DB1AB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2375" y="117608697"/>
          <a:ext cx="964042" cy="1339597"/>
        </a:xfrm>
        <a:prstGeom prst="rect">
          <a:avLst/>
        </a:prstGeom>
      </xdr:spPr>
    </xdr:pic>
    <xdr:clientData/>
  </xdr:twoCellAnchor>
  <xdr:twoCellAnchor editAs="oneCell">
    <xdr:from>
      <xdr:col>1</xdr:col>
      <xdr:colOff>762795</xdr:colOff>
      <xdr:row>65</xdr:row>
      <xdr:rowOff>168088</xdr:rowOff>
    </xdr:from>
    <xdr:to>
      <xdr:col>1</xdr:col>
      <xdr:colOff>1778207</xdr:colOff>
      <xdr:row>65</xdr:row>
      <xdr:rowOff>1588245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BECE9044-BE13-435D-AF51-36A73F5DB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1120" y="117554188"/>
          <a:ext cx="1015412" cy="1420157"/>
        </a:xfrm>
        <a:prstGeom prst="rect">
          <a:avLst/>
        </a:prstGeom>
      </xdr:spPr>
    </xdr:pic>
    <xdr:clientData/>
  </xdr:twoCellAnchor>
  <xdr:twoCellAnchor editAs="oneCell">
    <xdr:from>
      <xdr:col>11</xdr:col>
      <xdr:colOff>94690</xdr:colOff>
      <xdr:row>65</xdr:row>
      <xdr:rowOff>256615</xdr:rowOff>
    </xdr:from>
    <xdr:to>
      <xdr:col>12</xdr:col>
      <xdr:colOff>146013</xdr:colOff>
      <xdr:row>65</xdr:row>
      <xdr:rowOff>1596212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860750F-7988-4C21-96B8-BEFDBF99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5515" y="117604615"/>
          <a:ext cx="965723" cy="1339597"/>
        </a:xfrm>
        <a:prstGeom prst="rect">
          <a:avLst/>
        </a:prstGeom>
      </xdr:spPr>
    </xdr:pic>
    <xdr:clientData/>
  </xdr:twoCellAnchor>
  <xdr:twoCellAnchor editAs="oneCell">
    <xdr:from>
      <xdr:col>9</xdr:col>
      <xdr:colOff>896470</xdr:colOff>
      <xdr:row>65</xdr:row>
      <xdr:rowOff>288793</xdr:rowOff>
    </xdr:from>
    <xdr:to>
      <xdr:col>11</xdr:col>
      <xdr:colOff>18825</xdr:colOff>
      <xdr:row>65</xdr:row>
      <xdr:rowOff>1628390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6DAB1020-403B-48C7-BDFE-DFE154531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6270" y="117674893"/>
          <a:ext cx="951155" cy="1339597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313765</xdr:colOff>
      <xdr:row>65</xdr:row>
      <xdr:rowOff>284470</xdr:rowOff>
    </xdr:from>
    <xdr:to>
      <xdr:col>9</xdr:col>
      <xdr:colOff>340996</xdr:colOff>
      <xdr:row>65</xdr:row>
      <xdr:rowOff>1624067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23EAA82F-C447-41EB-8F10-36B1F5BF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1140" y="117670570"/>
          <a:ext cx="960681" cy="1339597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66</xdr:row>
      <xdr:rowOff>141629</xdr:rowOff>
    </xdr:from>
    <xdr:to>
      <xdr:col>8</xdr:col>
      <xdr:colOff>292249</xdr:colOff>
      <xdr:row>66</xdr:row>
      <xdr:rowOff>1481226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CC47C24B-7FED-4EA8-B759-A0415A25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19261279"/>
          <a:ext cx="958999" cy="1339597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784412</xdr:colOff>
      <xdr:row>66</xdr:row>
      <xdr:rowOff>245735</xdr:rowOff>
    </xdr:from>
    <xdr:to>
      <xdr:col>1</xdr:col>
      <xdr:colOff>1823031</xdr:colOff>
      <xdr:row>66</xdr:row>
      <xdr:rowOff>1698349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DA56EB77-E3FD-43FB-B92D-CF3DF0E2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2737" y="119403485"/>
          <a:ext cx="1038619" cy="1452614"/>
        </a:xfrm>
        <a:prstGeom prst="rect">
          <a:avLst/>
        </a:prstGeom>
      </xdr:spPr>
    </xdr:pic>
    <xdr:clientData/>
  </xdr:twoCellAnchor>
  <xdr:twoCellAnchor editAs="oneCell">
    <xdr:from>
      <xdr:col>11</xdr:col>
      <xdr:colOff>132789</xdr:colOff>
      <xdr:row>66</xdr:row>
      <xdr:rowOff>75808</xdr:rowOff>
    </xdr:from>
    <xdr:to>
      <xdr:col>12</xdr:col>
      <xdr:colOff>184112</xdr:colOff>
      <xdr:row>66</xdr:row>
      <xdr:rowOff>1415405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EF0EBF1-5390-4E67-AAA5-65D096462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3614" y="119195458"/>
          <a:ext cx="965723" cy="133959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66</xdr:row>
      <xdr:rowOff>102676</xdr:rowOff>
    </xdr:from>
    <xdr:to>
      <xdr:col>11</xdr:col>
      <xdr:colOff>41237</xdr:colOff>
      <xdr:row>66</xdr:row>
      <xdr:rowOff>1442273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CA2B6075-1422-4929-BC19-7851C688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4200" y="119260426"/>
          <a:ext cx="955637" cy="1339597"/>
        </a:xfrm>
        <a:prstGeom prst="rect">
          <a:avLst/>
        </a:prstGeom>
      </xdr:spPr>
    </xdr:pic>
    <xdr:clientData/>
  </xdr:twoCellAnchor>
  <xdr:twoCellAnchor editAs="oneCell">
    <xdr:from>
      <xdr:col>8</xdr:col>
      <xdr:colOff>242047</xdr:colOff>
      <xdr:row>66</xdr:row>
      <xdr:rowOff>125355</xdr:rowOff>
    </xdr:from>
    <xdr:to>
      <xdr:col>9</xdr:col>
      <xdr:colOff>273760</xdr:colOff>
      <xdr:row>66</xdr:row>
      <xdr:rowOff>1464952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60360AA5-ABCD-45DC-8D14-505BE9B87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1647" y="119245005"/>
          <a:ext cx="965163" cy="1339597"/>
        </a:xfrm>
        <a:prstGeom prst="rect">
          <a:avLst/>
        </a:prstGeom>
      </xdr:spPr>
    </xdr:pic>
    <xdr:clientData/>
  </xdr:twoCellAnchor>
  <xdr:twoCellAnchor editAs="oneCell">
    <xdr:from>
      <xdr:col>1</xdr:col>
      <xdr:colOff>705972</xdr:colOff>
      <xdr:row>67</xdr:row>
      <xdr:rowOff>78441</xdr:rowOff>
    </xdr:from>
    <xdr:to>
      <xdr:col>1</xdr:col>
      <xdr:colOff>1698327</xdr:colOff>
      <xdr:row>67</xdr:row>
      <xdr:rowOff>1467970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BB2AAED4-02AF-40DF-806F-26FE58B8E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97" y="121007841"/>
          <a:ext cx="992355" cy="1389529"/>
        </a:xfrm>
        <a:prstGeom prst="rect">
          <a:avLst/>
        </a:prstGeom>
      </xdr:spPr>
    </xdr:pic>
    <xdr:clientData/>
  </xdr:twoCellAnchor>
  <xdr:twoCellAnchor editAs="oneCell">
    <xdr:from>
      <xdr:col>1</xdr:col>
      <xdr:colOff>676678</xdr:colOff>
      <xdr:row>68</xdr:row>
      <xdr:rowOff>105177</xdr:rowOff>
    </xdr:from>
    <xdr:to>
      <xdr:col>1</xdr:col>
      <xdr:colOff>1647266</xdr:colOff>
      <xdr:row>68</xdr:row>
      <xdr:rowOff>1464227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DB065BC1-3459-49E1-BD38-EE067C9B6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5003" y="122987202"/>
          <a:ext cx="970588" cy="1359050"/>
        </a:xfrm>
        <a:prstGeom prst="rect">
          <a:avLst/>
        </a:prstGeom>
      </xdr:spPr>
    </xdr:pic>
    <xdr:clientData/>
  </xdr:twoCellAnchor>
  <xdr:twoCellAnchor editAs="oneCell">
    <xdr:from>
      <xdr:col>1</xdr:col>
      <xdr:colOff>591355</xdr:colOff>
      <xdr:row>69</xdr:row>
      <xdr:rowOff>109500</xdr:rowOff>
    </xdr:from>
    <xdr:to>
      <xdr:col>1</xdr:col>
      <xdr:colOff>1570906</xdr:colOff>
      <xdr:row>69</xdr:row>
      <xdr:rowOff>1481100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DFDA2E29-CA59-4143-956A-5F215B749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9680" y="124763175"/>
          <a:ext cx="979551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67</xdr:row>
      <xdr:rowOff>305920</xdr:rowOff>
    </xdr:from>
    <xdr:to>
      <xdr:col>8</xdr:col>
      <xdr:colOff>354823</xdr:colOff>
      <xdr:row>67</xdr:row>
      <xdr:rowOff>1677520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4C6A848-320C-43AB-ABEE-F05889A6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0950" y="121197220"/>
          <a:ext cx="983473" cy="1371600"/>
        </a:xfrm>
        <a:prstGeom prst="rect">
          <a:avLst/>
        </a:prstGeom>
      </xdr:spPr>
    </xdr:pic>
    <xdr:clientData/>
  </xdr:twoCellAnchor>
  <xdr:twoCellAnchor editAs="oneCell">
    <xdr:from>
      <xdr:col>8</xdr:col>
      <xdr:colOff>494180</xdr:colOff>
      <xdr:row>67</xdr:row>
      <xdr:rowOff>302558</xdr:rowOff>
    </xdr:from>
    <xdr:to>
      <xdr:col>9</xdr:col>
      <xdr:colOff>545324</xdr:colOff>
      <xdr:row>67</xdr:row>
      <xdr:rowOff>1674158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6501A81-D517-47F4-8FB4-E260967CD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9905" y="121146233"/>
          <a:ext cx="984594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68</xdr:row>
      <xdr:rowOff>204591</xdr:rowOff>
    </xdr:from>
    <xdr:to>
      <xdr:col>8</xdr:col>
      <xdr:colOff>349780</xdr:colOff>
      <xdr:row>68</xdr:row>
      <xdr:rowOff>1576191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106E1930-12D0-4B37-99D6-A1ADF8C7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0950" y="123048516"/>
          <a:ext cx="978430" cy="1371600"/>
        </a:xfrm>
        <a:prstGeom prst="rect">
          <a:avLst/>
        </a:prstGeom>
      </xdr:spPr>
    </xdr:pic>
    <xdr:clientData/>
  </xdr:twoCellAnchor>
  <xdr:twoCellAnchor editAs="oneCell">
    <xdr:from>
      <xdr:col>8</xdr:col>
      <xdr:colOff>530599</xdr:colOff>
      <xdr:row>68</xdr:row>
      <xdr:rowOff>181060</xdr:rowOff>
    </xdr:from>
    <xdr:to>
      <xdr:col>9</xdr:col>
      <xdr:colOff>581743</xdr:colOff>
      <xdr:row>68</xdr:row>
      <xdr:rowOff>1552660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31DC6DE1-421F-41B7-ABD5-7AE1A203B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6324" y="122977360"/>
          <a:ext cx="984594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25773</xdr:colOff>
      <xdr:row>69</xdr:row>
      <xdr:rowOff>165691</xdr:rowOff>
    </xdr:from>
    <xdr:to>
      <xdr:col>8</xdr:col>
      <xdr:colOff>315602</xdr:colOff>
      <xdr:row>69</xdr:row>
      <xdr:rowOff>1537291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9ED91153-EA83-4D99-9D0C-71F0B7B8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0048" y="124781266"/>
          <a:ext cx="985154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829235</xdr:colOff>
      <xdr:row>69</xdr:row>
      <xdr:rowOff>81088</xdr:rowOff>
    </xdr:from>
    <xdr:to>
      <xdr:col>10</xdr:col>
      <xdr:colOff>889904</xdr:colOff>
      <xdr:row>69</xdr:row>
      <xdr:rowOff>1452688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E39FE334-FF59-483C-ACE6-B87B36C4F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9035" y="124734763"/>
          <a:ext cx="975069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877422</xdr:colOff>
      <xdr:row>67</xdr:row>
      <xdr:rowOff>350184</xdr:rowOff>
    </xdr:from>
    <xdr:to>
      <xdr:col>12</xdr:col>
      <xdr:colOff>33776</xdr:colOff>
      <xdr:row>67</xdr:row>
      <xdr:rowOff>1721784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51862244-2CF9-4674-9128-1F30524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3847" y="121241484"/>
          <a:ext cx="985154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818030</xdr:colOff>
      <xdr:row>67</xdr:row>
      <xdr:rowOff>347382</xdr:rowOff>
    </xdr:from>
    <xdr:to>
      <xdr:col>10</xdr:col>
      <xdr:colOff>878699</xdr:colOff>
      <xdr:row>67</xdr:row>
      <xdr:rowOff>1718982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2307A764-B972-49E2-B452-38539EAB0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7830" y="121276782"/>
          <a:ext cx="975069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881902</xdr:colOff>
      <xdr:row>68</xdr:row>
      <xdr:rowOff>181060</xdr:rowOff>
    </xdr:from>
    <xdr:to>
      <xdr:col>12</xdr:col>
      <xdr:colOff>38256</xdr:colOff>
      <xdr:row>68</xdr:row>
      <xdr:rowOff>1552660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B25A24FC-A2C0-44B6-8688-8DBA8BCB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8327" y="123024985"/>
          <a:ext cx="985154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851647</xdr:colOff>
      <xdr:row>68</xdr:row>
      <xdr:rowOff>136235</xdr:rowOff>
    </xdr:from>
    <xdr:to>
      <xdr:col>10</xdr:col>
      <xdr:colOff>912316</xdr:colOff>
      <xdr:row>68</xdr:row>
      <xdr:rowOff>1507835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288A683C-7327-4E84-84FB-37AB6537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1447" y="123018260"/>
          <a:ext cx="975069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876300</xdr:colOff>
      <xdr:row>69</xdr:row>
      <xdr:rowOff>120309</xdr:rowOff>
    </xdr:from>
    <xdr:to>
      <xdr:col>12</xdr:col>
      <xdr:colOff>27073</xdr:colOff>
      <xdr:row>69</xdr:row>
      <xdr:rowOff>1491909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9ECC6723-EE15-4EEA-A1EC-E00A33ACE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2725" y="124735884"/>
          <a:ext cx="979573" cy="13716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495299</xdr:colOff>
      <xdr:row>69</xdr:row>
      <xdr:rowOff>146641</xdr:rowOff>
    </xdr:from>
    <xdr:to>
      <xdr:col>9</xdr:col>
      <xdr:colOff>547586</xdr:colOff>
      <xdr:row>69</xdr:row>
      <xdr:rowOff>1518241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3C3F723-EA1A-49F1-AB1C-BEA3BC0AC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1024" y="124714591"/>
          <a:ext cx="985737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589598</xdr:colOff>
      <xdr:row>5</xdr:row>
      <xdr:rowOff>89648</xdr:rowOff>
    </xdr:from>
    <xdr:to>
      <xdr:col>1</xdr:col>
      <xdr:colOff>1658471</xdr:colOff>
      <xdr:row>5</xdr:row>
      <xdr:rowOff>1727561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3DFD8D64-485B-4D94-83AA-D3A867F1B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923" y="5947523"/>
          <a:ext cx="1068873" cy="1637913"/>
        </a:xfrm>
        <a:prstGeom prst="rect">
          <a:avLst/>
        </a:prstGeom>
      </xdr:spPr>
    </xdr:pic>
    <xdr:clientData/>
  </xdr:twoCellAnchor>
  <xdr:twoCellAnchor editAs="oneCell">
    <xdr:from>
      <xdr:col>1</xdr:col>
      <xdr:colOff>582706</xdr:colOff>
      <xdr:row>3</xdr:row>
      <xdr:rowOff>78441</xdr:rowOff>
    </xdr:from>
    <xdr:to>
      <xdr:col>1</xdr:col>
      <xdr:colOff>1613647</xdr:colOff>
      <xdr:row>3</xdr:row>
      <xdr:rowOff>1628818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CCAB6340-2EBC-4A63-A36B-D70367ADB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031" y="2393016"/>
          <a:ext cx="1030941" cy="155037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272546</xdr:rowOff>
    </xdr:from>
    <xdr:to>
      <xdr:col>13</xdr:col>
      <xdr:colOff>123832</xdr:colOff>
      <xdr:row>3</xdr:row>
      <xdr:rowOff>1736192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136E6532-05E0-4F0C-9EA0-CB8DC013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1350" y="2549021"/>
          <a:ext cx="1038232" cy="1463646"/>
        </a:xfrm>
        <a:prstGeom prst="rect">
          <a:avLst/>
        </a:prstGeom>
      </xdr:spPr>
    </xdr:pic>
    <xdr:clientData/>
  </xdr:twoCellAnchor>
  <xdr:twoCellAnchor editAs="oneCell">
    <xdr:from>
      <xdr:col>8</xdr:col>
      <xdr:colOff>100299</xdr:colOff>
      <xdr:row>3</xdr:row>
      <xdr:rowOff>252376</xdr:rowOff>
    </xdr:from>
    <xdr:to>
      <xdr:col>9</xdr:col>
      <xdr:colOff>217331</xdr:colOff>
      <xdr:row>3</xdr:row>
      <xdr:rowOff>1726899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32D77AD5-5A76-4301-8415-899A08BD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06024" y="2481226"/>
          <a:ext cx="1050482" cy="1474523"/>
        </a:xfrm>
        <a:prstGeom prst="rect">
          <a:avLst/>
        </a:prstGeom>
      </xdr:spPr>
    </xdr:pic>
    <xdr:clientData/>
  </xdr:twoCellAnchor>
  <xdr:twoCellAnchor editAs="oneCell">
    <xdr:from>
      <xdr:col>9</xdr:col>
      <xdr:colOff>454779</xdr:colOff>
      <xdr:row>3</xdr:row>
      <xdr:rowOff>232765</xdr:rowOff>
    </xdr:from>
    <xdr:to>
      <xdr:col>10</xdr:col>
      <xdr:colOff>685347</xdr:colOff>
      <xdr:row>3</xdr:row>
      <xdr:rowOff>1721781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6BE03EC2-C05F-4BA4-9A58-70C1BD268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4579" y="2547340"/>
          <a:ext cx="1144968" cy="1489016"/>
        </a:xfrm>
        <a:prstGeom prst="rect">
          <a:avLst/>
        </a:prstGeom>
      </xdr:spPr>
    </xdr:pic>
    <xdr:clientData/>
  </xdr:twoCellAnchor>
  <xdr:twoCellAnchor editAs="oneCell">
    <xdr:from>
      <xdr:col>10</xdr:col>
      <xdr:colOff>723893</xdr:colOff>
      <xdr:row>3</xdr:row>
      <xdr:rowOff>255177</xdr:rowOff>
    </xdr:from>
    <xdr:to>
      <xdr:col>11</xdr:col>
      <xdr:colOff>825659</xdr:colOff>
      <xdr:row>3</xdr:row>
      <xdr:rowOff>1716871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3CB6378-97E7-49D8-B5CF-E02091F52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8093" y="2569752"/>
          <a:ext cx="1016166" cy="1461694"/>
        </a:xfrm>
        <a:prstGeom prst="rect">
          <a:avLst/>
        </a:prstGeom>
      </xdr:spPr>
    </xdr:pic>
    <xdr:clientData/>
  </xdr:twoCellAnchor>
  <xdr:twoCellAnchor editAs="oneCell">
    <xdr:from>
      <xdr:col>8</xdr:col>
      <xdr:colOff>61072</xdr:colOff>
      <xdr:row>10</xdr:row>
      <xdr:rowOff>125189</xdr:rowOff>
    </xdr:from>
    <xdr:to>
      <xdr:col>9</xdr:col>
      <xdr:colOff>346520</xdr:colOff>
      <xdr:row>10</xdr:row>
      <xdr:rowOff>1721960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69073B70-0271-422B-80B2-2F6620199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6797" y="14755589"/>
          <a:ext cx="1218898" cy="1596771"/>
        </a:xfrm>
        <a:prstGeom prst="rect">
          <a:avLst/>
        </a:prstGeom>
      </xdr:spPr>
    </xdr:pic>
    <xdr:clientData/>
  </xdr:twoCellAnchor>
  <xdr:twoCellAnchor editAs="oneCell">
    <xdr:from>
      <xdr:col>9</xdr:col>
      <xdr:colOff>391954</xdr:colOff>
      <xdr:row>10</xdr:row>
      <xdr:rowOff>75883</xdr:rowOff>
    </xdr:from>
    <xdr:to>
      <xdr:col>10</xdr:col>
      <xdr:colOff>675889</xdr:colOff>
      <xdr:row>10</xdr:row>
      <xdr:rowOff>1741806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7F3C7175-B4AB-4900-AA00-7A6F8320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1754" y="14792008"/>
          <a:ext cx="1198335" cy="1665923"/>
        </a:xfrm>
        <a:prstGeom prst="rect">
          <a:avLst/>
        </a:prstGeom>
      </xdr:spPr>
    </xdr:pic>
    <xdr:clientData/>
  </xdr:twoCellAnchor>
  <xdr:twoCellAnchor editAs="oneCell">
    <xdr:from>
      <xdr:col>10</xdr:col>
      <xdr:colOff>685323</xdr:colOff>
      <xdr:row>10</xdr:row>
      <xdr:rowOff>87090</xdr:rowOff>
    </xdr:from>
    <xdr:to>
      <xdr:col>11</xdr:col>
      <xdr:colOff>820477</xdr:colOff>
      <xdr:row>10</xdr:row>
      <xdr:rowOff>1727867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C9F4DEF7-9F3E-4639-AE30-183804335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9523" y="14803215"/>
          <a:ext cx="1049554" cy="1640777"/>
        </a:xfrm>
        <a:prstGeom prst="rect">
          <a:avLst/>
        </a:prstGeom>
      </xdr:spPr>
    </xdr:pic>
    <xdr:clientData/>
  </xdr:twoCellAnchor>
  <xdr:twoCellAnchor editAs="oneCell">
    <xdr:from>
      <xdr:col>1</xdr:col>
      <xdr:colOff>275030</xdr:colOff>
      <xdr:row>10</xdr:row>
      <xdr:rowOff>62117</xdr:rowOff>
    </xdr:from>
    <xdr:to>
      <xdr:col>1</xdr:col>
      <xdr:colOff>1529265</xdr:colOff>
      <xdr:row>10</xdr:row>
      <xdr:rowOff>1636059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288C9A4E-90BC-45D0-8A42-C5A5E39B4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3355" y="14778242"/>
          <a:ext cx="1254235" cy="1573942"/>
        </a:xfrm>
        <a:prstGeom prst="rect">
          <a:avLst/>
        </a:prstGeom>
      </xdr:spPr>
    </xdr:pic>
    <xdr:clientData/>
  </xdr:twoCellAnchor>
  <xdr:twoCellAnchor editAs="oneCell">
    <xdr:from>
      <xdr:col>1</xdr:col>
      <xdr:colOff>587030</xdr:colOff>
      <xdr:row>17</xdr:row>
      <xdr:rowOff>60352</xdr:rowOff>
    </xdr:from>
    <xdr:to>
      <xdr:col>1</xdr:col>
      <xdr:colOff>1770529</xdr:colOff>
      <xdr:row>17</xdr:row>
      <xdr:rowOff>1718999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499EBF41-475D-4E5B-87FB-01A339A78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355" y="27730477"/>
          <a:ext cx="1183499" cy="1658647"/>
        </a:xfrm>
        <a:prstGeom prst="rect">
          <a:avLst/>
        </a:prstGeom>
      </xdr:spPr>
    </xdr:pic>
    <xdr:clientData/>
  </xdr:twoCellAnchor>
  <xdr:twoCellAnchor editAs="oneCell">
    <xdr:from>
      <xdr:col>7</xdr:col>
      <xdr:colOff>168860</xdr:colOff>
      <xdr:row>17</xdr:row>
      <xdr:rowOff>131030</xdr:rowOff>
    </xdr:from>
    <xdr:to>
      <xdr:col>9</xdr:col>
      <xdr:colOff>78261</xdr:colOff>
      <xdr:row>17</xdr:row>
      <xdr:rowOff>1748375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76AACB13-7DA0-4CAB-B299-32C63B148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1685" y="27715430"/>
          <a:ext cx="1185751" cy="1617345"/>
        </a:xfrm>
        <a:prstGeom prst="rect">
          <a:avLst/>
        </a:prstGeom>
      </xdr:spPr>
    </xdr:pic>
    <xdr:clientData/>
  </xdr:twoCellAnchor>
  <xdr:twoCellAnchor editAs="oneCell">
    <xdr:from>
      <xdr:col>10</xdr:col>
      <xdr:colOff>347384</xdr:colOff>
      <xdr:row>17</xdr:row>
      <xdr:rowOff>84527</xdr:rowOff>
    </xdr:from>
    <xdr:to>
      <xdr:col>11</xdr:col>
      <xdr:colOff>522924</xdr:colOff>
      <xdr:row>17</xdr:row>
      <xdr:rowOff>1733305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3658CE7-A24F-490F-B777-9FE04054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1584" y="27754652"/>
          <a:ext cx="1089940" cy="1648778"/>
        </a:xfrm>
        <a:prstGeom prst="rect">
          <a:avLst/>
        </a:prstGeom>
      </xdr:spPr>
    </xdr:pic>
    <xdr:clientData/>
  </xdr:twoCellAnchor>
  <xdr:twoCellAnchor editAs="oneCell">
    <xdr:from>
      <xdr:col>9</xdr:col>
      <xdr:colOff>129352</xdr:colOff>
      <xdr:row>17</xdr:row>
      <xdr:rowOff>84527</xdr:rowOff>
    </xdr:from>
    <xdr:to>
      <xdr:col>10</xdr:col>
      <xdr:colOff>333468</xdr:colOff>
      <xdr:row>18</xdr:row>
      <xdr:rowOff>2780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958E030E-FC9E-4BFD-9D2A-ED6589A0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59152" y="27754652"/>
          <a:ext cx="1118516" cy="1689904"/>
        </a:xfrm>
        <a:prstGeom prst="rect">
          <a:avLst/>
        </a:prstGeom>
      </xdr:spPr>
    </xdr:pic>
    <xdr:clientData/>
  </xdr:twoCellAnchor>
  <xdr:twoCellAnchor editAs="oneCell">
    <xdr:from>
      <xdr:col>1</xdr:col>
      <xdr:colOff>425823</xdr:colOff>
      <xdr:row>38</xdr:row>
      <xdr:rowOff>56030</xdr:rowOff>
    </xdr:from>
    <xdr:to>
      <xdr:col>1</xdr:col>
      <xdr:colOff>1524000</xdr:colOff>
      <xdr:row>38</xdr:row>
      <xdr:rowOff>1828178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C2518DE-1D16-4E4F-9F05-7ED11A35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4148" y="66921530"/>
          <a:ext cx="1098177" cy="1772148"/>
        </a:xfrm>
        <a:prstGeom prst="rect">
          <a:avLst/>
        </a:prstGeom>
      </xdr:spPr>
    </xdr:pic>
    <xdr:clientData/>
  </xdr:twoCellAnchor>
  <xdr:twoCellAnchor editAs="oneCell">
    <xdr:from>
      <xdr:col>1</xdr:col>
      <xdr:colOff>385322</xdr:colOff>
      <xdr:row>39</xdr:row>
      <xdr:rowOff>71559</xdr:rowOff>
    </xdr:from>
    <xdr:to>
      <xdr:col>1</xdr:col>
      <xdr:colOff>1555468</xdr:colOff>
      <xdr:row>39</xdr:row>
      <xdr:rowOff>1835780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42E1FFB-54A4-4B1B-A51F-8FE249353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3647" y="68842059"/>
          <a:ext cx="1170146" cy="1764221"/>
        </a:xfrm>
        <a:prstGeom prst="rect">
          <a:avLst/>
        </a:prstGeom>
      </xdr:spPr>
    </xdr:pic>
    <xdr:clientData/>
  </xdr:twoCellAnchor>
  <xdr:twoCellAnchor editAs="oneCell">
    <xdr:from>
      <xdr:col>1</xdr:col>
      <xdr:colOff>378439</xdr:colOff>
      <xdr:row>40</xdr:row>
      <xdr:rowOff>75881</xdr:rowOff>
    </xdr:from>
    <xdr:to>
      <xdr:col>1</xdr:col>
      <xdr:colOff>1524582</xdr:colOff>
      <xdr:row>40</xdr:row>
      <xdr:rowOff>1846102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CC57828-2014-4091-A8B2-5B75CDDB1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764" y="70751381"/>
          <a:ext cx="1146143" cy="1770221"/>
        </a:xfrm>
        <a:prstGeom prst="rect">
          <a:avLst/>
        </a:prstGeom>
      </xdr:spPr>
    </xdr:pic>
    <xdr:clientData/>
  </xdr:twoCellAnchor>
  <xdr:twoCellAnchor editAs="oneCell">
    <xdr:from>
      <xdr:col>1</xdr:col>
      <xdr:colOff>360351</xdr:colOff>
      <xdr:row>41</xdr:row>
      <xdr:rowOff>80207</xdr:rowOff>
    </xdr:from>
    <xdr:to>
      <xdr:col>1</xdr:col>
      <xdr:colOff>1530497</xdr:colOff>
      <xdr:row>41</xdr:row>
      <xdr:rowOff>1844428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2749E113-C495-42D1-81F2-E7938A84F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676" y="72660707"/>
          <a:ext cx="1170146" cy="1764221"/>
        </a:xfrm>
        <a:prstGeom prst="rect">
          <a:avLst/>
        </a:prstGeom>
      </xdr:spPr>
    </xdr:pic>
    <xdr:clientData/>
  </xdr:twoCellAnchor>
  <xdr:twoCellAnchor editAs="oneCell">
    <xdr:from>
      <xdr:col>1</xdr:col>
      <xdr:colOff>387086</xdr:colOff>
      <xdr:row>42</xdr:row>
      <xdr:rowOff>73323</xdr:rowOff>
    </xdr:from>
    <xdr:to>
      <xdr:col>1</xdr:col>
      <xdr:colOff>1533229</xdr:colOff>
      <xdr:row>42</xdr:row>
      <xdr:rowOff>1839544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39370BB8-9131-404D-BE12-10449618C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5411" y="74558823"/>
          <a:ext cx="1146143" cy="17662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493057</xdr:colOff>
      <xdr:row>50</xdr:row>
      <xdr:rowOff>33616</xdr:rowOff>
    </xdr:from>
    <xdr:to>
      <xdr:col>1</xdr:col>
      <xdr:colOff>1591234</xdr:colOff>
      <xdr:row>50</xdr:row>
      <xdr:rowOff>1826509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16D8A2B4-50AD-4DBC-BC0C-FE296A84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1382" y="89759116"/>
          <a:ext cx="1098177" cy="1792893"/>
        </a:xfrm>
        <a:prstGeom prst="rect">
          <a:avLst/>
        </a:prstGeom>
      </xdr:spPr>
    </xdr:pic>
    <xdr:clientData/>
  </xdr:twoCellAnchor>
  <xdr:twoCellAnchor editAs="oneCell">
    <xdr:from>
      <xdr:col>1</xdr:col>
      <xdr:colOff>362911</xdr:colOff>
      <xdr:row>51</xdr:row>
      <xdr:rowOff>82765</xdr:rowOff>
    </xdr:from>
    <xdr:to>
      <xdr:col>1</xdr:col>
      <xdr:colOff>1557617</xdr:colOff>
      <xdr:row>51</xdr:row>
      <xdr:rowOff>1825939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C6700EFF-3E8E-4FCF-AF97-3A57B49F4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236" y="91713265"/>
          <a:ext cx="1194706" cy="1743174"/>
        </a:xfrm>
        <a:prstGeom prst="rect">
          <a:avLst/>
        </a:prstGeom>
      </xdr:spPr>
    </xdr:pic>
    <xdr:clientData/>
  </xdr:twoCellAnchor>
  <xdr:twoCellAnchor editAs="oneCell">
    <xdr:from>
      <xdr:col>1</xdr:col>
      <xdr:colOff>400852</xdr:colOff>
      <xdr:row>52</xdr:row>
      <xdr:rowOff>64675</xdr:rowOff>
    </xdr:from>
    <xdr:to>
      <xdr:col>1</xdr:col>
      <xdr:colOff>1498132</xdr:colOff>
      <xdr:row>52</xdr:row>
      <xdr:rowOff>1804321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D0958DFB-251E-492D-A16C-DA9E544D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9177" y="93600175"/>
          <a:ext cx="1097280" cy="1739646"/>
        </a:xfrm>
        <a:prstGeom prst="rect">
          <a:avLst/>
        </a:prstGeom>
      </xdr:spPr>
    </xdr:pic>
    <xdr:clientData/>
  </xdr:twoCellAnchor>
  <xdr:twoCellAnchor editAs="oneCell">
    <xdr:from>
      <xdr:col>1</xdr:col>
      <xdr:colOff>472410</xdr:colOff>
      <xdr:row>53</xdr:row>
      <xdr:rowOff>80206</xdr:rowOff>
    </xdr:from>
    <xdr:to>
      <xdr:col>1</xdr:col>
      <xdr:colOff>1544544</xdr:colOff>
      <xdr:row>53</xdr:row>
      <xdr:rowOff>1799278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C9371663-B986-4DB5-ABD4-A0C5F3362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735" y="95520706"/>
          <a:ext cx="1072134" cy="1719072"/>
        </a:xfrm>
        <a:prstGeom prst="rect">
          <a:avLst/>
        </a:prstGeom>
      </xdr:spPr>
    </xdr:pic>
    <xdr:clientData/>
  </xdr:twoCellAnchor>
  <xdr:twoCellAnchor editAs="oneCell">
    <xdr:from>
      <xdr:col>1</xdr:col>
      <xdr:colOff>375882</xdr:colOff>
      <xdr:row>54</xdr:row>
      <xdr:rowOff>95735</xdr:rowOff>
    </xdr:from>
    <xdr:to>
      <xdr:col>1</xdr:col>
      <xdr:colOff>1445730</xdr:colOff>
      <xdr:row>54</xdr:row>
      <xdr:rowOff>1849097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10250328-FEB6-4AB1-97D0-A9052CB04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4207" y="97441235"/>
          <a:ext cx="1069848" cy="1753362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336178</xdr:colOff>
      <xdr:row>17</xdr:row>
      <xdr:rowOff>267262</xdr:rowOff>
    </xdr:from>
    <xdr:to>
      <xdr:col>15</xdr:col>
      <xdr:colOff>789456</xdr:colOff>
      <xdr:row>17</xdr:row>
      <xdr:rowOff>1762687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EE844183-FEFC-463C-9DF0-6FE2AD9A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51928" y="27899287"/>
          <a:ext cx="2282078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515470</xdr:colOff>
      <xdr:row>27</xdr:row>
      <xdr:rowOff>67236</xdr:rowOff>
    </xdr:from>
    <xdr:to>
      <xdr:col>1</xdr:col>
      <xdr:colOff>1724310</xdr:colOff>
      <xdr:row>27</xdr:row>
      <xdr:rowOff>1829418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988A3538-C81D-44D3-87CC-84682395F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795" y="45977736"/>
          <a:ext cx="1208840" cy="1762182"/>
        </a:xfrm>
        <a:prstGeom prst="rect">
          <a:avLst/>
        </a:prstGeom>
      </xdr:spPr>
    </xdr:pic>
    <xdr:clientData/>
  </xdr:twoCellAnchor>
  <xdr:twoCellAnchor editAs="oneCell">
    <xdr:from>
      <xdr:col>1</xdr:col>
      <xdr:colOff>553411</xdr:colOff>
      <xdr:row>28</xdr:row>
      <xdr:rowOff>82765</xdr:rowOff>
    </xdr:from>
    <xdr:to>
      <xdr:col>1</xdr:col>
      <xdr:colOff>1847380</xdr:colOff>
      <xdr:row>28</xdr:row>
      <xdr:rowOff>1853460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AC232F9F-2129-4301-8C11-6F733D650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1736" y="47898265"/>
          <a:ext cx="1293969" cy="1770695"/>
        </a:xfrm>
        <a:prstGeom prst="rect">
          <a:avLst/>
        </a:prstGeom>
      </xdr:spPr>
    </xdr:pic>
    <xdr:clientData/>
  </xdr:twoCellAnchor>
  <xdr:twoCellAnchor editAs="oneCell">
    <xdr:from>
      <xdr:col>1</xdr:col>
      <xdr:colOff>546529</xdr:colOff>
      <xdr:row>31</xdr:row>
      <xdr:rowOff>64677</xdr:rowOff>
    </xdr:from>
    <xdr:to>
      <xdr:col>1</xdr:col>
      <xdr:colOff>1763882</xdr:colOff>
      <xdr:row>31</xdr:row>
      <xdr:rowOff>1818346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98761836-60D4-4CA5-A09B-7C2DAF159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4854" y="53595177"/>
          <a:ext cx="1217353" cy="1753669"/>
        </a:xfrm>
        <a:prstGeom prst="rect">
          <a:avLst/>
        </a:prstGeom>
      </xdr:spPr>
    </xdr:pic>
    <xdr:clientData/>
  </xdr:twoCellAnchor>
  <xdr:twoCellAnchor editAs="oneCell">
    <xdr:from>
      <xdr:col>1</xdr:col>
      <xdr:colOff>562058</xdr:colOff>
      <xdr:row>30</xdr:row>
      <xdr:rowOff>125031</xdr:rowOff>
    </xdr:from>
    <xdr:to>
      <xdr:col>1</xdr:col>
      <xdr:colOff>1787924</xdr:colOff>
      <xdr:row>30</xdr:row>
      <xdr:rowOff>1870187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9F03F8C6-C82A-40D2-AAF2-835E58A0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383" y="51750531"/>
          <a:ext cx="1225866" cy="1745156"/>
        </a:xfrm>
        <a:prstGeom prst="rect">
          <a:avLst/>
        </a:prstGeom>
      </xdr:spPr>
    </xdr:pic>
    <xdr:clientData/>
  </xdr:twoCellAnchor>
  <xdr:twoCellAnchor editAs="oneCell">
    <xdr:from>
      <xdr:col>1</xdr:col>
      <xdr:colOff>577588</xdr:colOff>
      <xdr:row>29</xdr:row>
      <xdr:rowOff>84530</xdr:rowOff>
    </xdr:from>
    <xdr:to>
      <xdr:col>1</xdr:col>
      <xdr:colOff>1854531</xdr:colOff>
      <xdr:row>29</xdr:row>
      <xdr:rowOff>1804147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E5213ACC-D8A8-4B4C-A758-D0E3D2DB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5913" y="49805030"/>
          <a:ext cx="1276943" cy="1719617"/>
        </a:xfrm>
        <a:prstGeom prst="rect">
          <a:avLst/>
        </a:prstGeom>
      </xdr:spPr>
    </xdr:pic>
    <xdr:clientData/>
  </xdr:twoCellAnchor>
  <xdr:oneCellAnchor>
    <xdr:from>
      <xdr:col>11</xdr:col>
      <xdr:colOff>872938</xdr:colOff>
      <xdr:row>10</xdr:row>
      <xdr:rowOff>96054</xdr:rowOff>
    </xdr:from>
    <xdr:ext cx="1225599" cy="1665923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36B752BC-181B-48EA-9223-ECA9B9455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9888" y="14774079"/>
          <a:ext cx="1225599" cy="1665923"/>
        </a:xfrm>
        <a:prstGeom prst="rect">
          <a:avLst/>
        </a:prstGeom>
      </xdr:spPr>
    </xdr:pic>
    <xdr:clientData/>
  </xdr:oneCellAnchor>
  <xdr:oneCellAnchor>
    <xdr:from>
      <xdr:col>11</xdr:col>
      <xdr:colOff>734546</xdr:colOff>
      <xdr:row>17</xdr:row>
      <xdr:rowOff>135513</xdr:rowOff>
    </xdr:from>
    <xdr:ext cx="1195500" cy="1634490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07D6A64C-D8DA-49F2-8A1B-9BCCDC7E4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1496" y="27767538"/>
          <a:ext cx="1195500" cy="1634490"/>
        </a:xfrm>
        <a:prstGeom prst="rect">
          <a:avLst/>
        </a:prstGeom>
      </xdr:spPr>
    </xdr:pic>
    <xdr:clientData/>
  </xdr:oneCellAnchor>
  <xdr:twoCellAnchor editAs="oneCell">
    <xdr:from>
      <xdr:col>8</xdr:col>
      <xdr:colOff>858102</xdr:colOff>
      <xdr:row>0</xdr:row>
      <xdr:rowOff>47302</xdr:rowOff>
    </xdr:from>
    <xdr:to>
      <xdr:col>9</xdr:col>
      <xdr:colOff>464423</xdr:colOff>
      <xdr:row>2</xdr:row>
      <xdr:rowOff>208831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564D93B8-6916-4FBB-801B-68D8DB46C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258" r="1884"/>
        <a:stretch/>
      </xdr:blipFill>
      <xdr:spPr>
        <a:xfrm rot="20918134">
          <a:off x="8563827" y="47302"/>
          <a:ext cx="539771" cy="5996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17</xdr:row>
      <xdr:rowOff>76200</xdr:rowOff>
    </xdr:from>
    <xdr:to>
      <xdr:col>1</xdr:col>
      <xdr:colOff>1817360</xdr:colOff>
      <xdr:row>17</xdr:row>
      <xdr:rowOff>1435100</xdr:rowOff>
    </xdr:to>
    <xdr:pic>
      <xdr:nvPicPr>
        <xdr:cNvPr id="2" name="Рисунок 1" descr="http://www.mudryfilin.ru/ajax/return-images/?name=552.jpg&amp;size=350">
          <a:extLst>
            <a:ext uri="{FF2B5EF4-FFF2-40B4-BE49-F238E27FC236}">
              <a16:creationId xmlns:a16="http://schemas.microsoft.com/office/drawing/2014/main" id="{4F588F44-41B9-4DD7-9F6F-F6318CD21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475" y="26746200"/>
          <a:ext cx="1296660" cy="135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431801</xdr:colOff>
      <xdr:row>19</xdr:row>
      <xdr:rowOff>101600</xdr:rowOff>
    </xdr:from>
    <xdr:to>
      <xdr:col>1</xdr:col>
      <xdr:colOff>1673767</xdr:colOff>
      <xdr:row>19</xdr:row>
      <xdr:rowOff>1361600</xdr:rowOff>
    </xdr:to>
    <xdr:pic>
      <xdr:nvPicPr>
        <xdr:cNvPr id="3" name="Рисунок 2" descr="http://www.mudryfilin.ru/ajax/return-images/?name=2892.jpg&amp;size=350">
          <a:extLst>
            <a:ext uri="{FF2B5EF4-FFF2-40B4-BE49-F238E27FC236}">
              <a16:creationId xmlns:a16="http://schemas.microsoft.com/office/drawing/2014/main" id="{1E252AA0-3005-4F34-A243-F237A7D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0576" y="29800550"/>
          <a:ext cx="1241966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571500</xdr:colOff>
      <xdr:row>20</xdr:row>
      <xdr:rowOff>63500</xdr:rowOff>
    </xdr:from>
    <xdr:to>
      <xdr:col>1</xdr:col>
      <xdr:colOff>1813465</xdr:colOff>
      <xdr:row>20</xdr:row>
      <xdr:rowOff>1323500</xdr:rowOff>
    </xdr:to>
    <xdr:pic>
      <xdr:nvPicPr>
        <xdr:cNvPr id="4" name="Рисунок 3" descr="http://www.mudryfilin.ru/ajax/return-images/?name=2893.jpg&amp;size=350">
          <a:extLst>
            <a:ext uri="{FF2B5EF4-FFF2-40B4-BE49-F238E27FC236}">
              <a16:creationId xmlns:a16="http://schemas.microsoft.com/office/drawing/2014/main" id="{DC8CCDDB-F604-4DCD-BDD0-ACA958E46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31276925"/>
          <a:ext cx="1241965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390525</xdr:colOff>
      <xdr:row>36</xdr:row>
      <xdr:rowOff>141194</xdr:rowOff>
    </xdr:from>
    <xdr:to>
      <xdr:col>1</xdr:col>
      <xdr:colOff>2375647</xdr:colOff>
      <xdr:row>36</xdr:row>
      <xdr:rowOff>1589166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9420994-F39C-46F4-A80A-3AE1A510D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0" y="61796519"/>
          <a:ext cx="1985122" cy="1447972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523876</xdr:colOff>
      <xdr:row>18</xdr:row>
      <xdr:rowOff>85725</xdr:rowOff>
    </xdr:from>
    <xdr:to>
      <xdr:col>1</xdr:col>
      <xdr:colOff>1895475</xdr:colOff>
      <xdr:row>18</xdr:row>
      <xdr:rowOff>1493525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89E802A-D0EF-4146-9DA4-1CDEB644C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2651" y="28270200"/>
          <a:ext cx="1371599" cy="1407800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268943</xdr:colOff>
      <xdr:row>5</xdr:row>
      <xdr:rowOff>89647</xdr:rowOff>
    </xdr:from>
    <xdr:to>
      <xdr:col>1</xdr:col>
      <xdr:colOff>2420471</xdr:colOff>
      <xdr:row>5</xdr:row>
      <xdr:rowOff>1693393</xdr:rowOff>
    </xdr:to>
    <xdr:pic>
      <xdr:nvPicPr>
        <xdr:cNvPr id="7" name="Рисунок 6" descr="Стол круглый бук.jpg">
          <a:extLst>
            <a:ext uri="{FF2B5EF4-FFF2-40B4-BE49-F238E27FC236}">
              <a16:creationId xmlns:a16="http://schemas.microsoft.com/office/drawing/2014/main" id="{EB7B430F-530D-4083-88C1-0458EF45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718" y="5957047"/>
          <a:ext cx="2151528" cy="1603746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257737</xdr:colOff>
      <xdr:row>6</xdr:row>
      <xdr:rowOff>45182</xdr:rowOff>
    </xdr:from>
    <xdr:to>
      <xdr:col>1</xdr:col>
      <xdr:colOff>2498913</xdr:colOff>
      <xdr:row>6</xdr:row>
      <xdr:rowOff>1741392</xdr:rowOff>
    </xdr:to>
    <xdr:pic>
      <xdr:nvPicPr>
        <xdr:cNvPr id="8" name="Рисунок 7" descr="Стол круглый в цвете.jpg">
          <a:extLst>
            <a:ext uri="{FF2B5EF4-FFF2-40B4-BE49-F238E27FC236}">
              <a16:creationId xmlns:a16="http://schemas.microsoft.com/office/drawing/2014/main" id="{219AD43F-0DBA-4354-BB5D-57B2F97B0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512" y="7684232"/>
          <a:ext cx="2241176" cy="1696210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212913</xdr:colOff>
      <xdr:row>7</xdr:row>
      <xdr:rowOff>77331</xdr:rowOff>
    </xdr:from>
    <xdr:to>
      <xdr:col>1</xdr:col>
      <xdr:colOff>2454088</xdr:colOff>
      <xdr:row>7</xdr:row>
      <xdr:rowOff>1750357</xdr:rowOff>
    </xdr:to>
    <xdr:pic>
      <xdr:nvPicPr>
        <xdr:cNvPr id="9" name="Рисунок 8" descr="стол полукгруглый бук.jpg">
          <a:extLst>
            <a:ext uri="{FF2B5EF4-FFF2-40B4-BE49-F238E27FC236}">
              <a16:creationId xmlns:a16="http://schemas.microsoft.com/office/drawing/2014/main" id="{4C80F468-3C2C-4C78-BE88-E956F9670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688" y="9488031"/>
          <a:ext cx="2241175" cy="1673026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156884</xdr:colOff>
      <xdr:row>8</xdr:row>
      <xdr:rowOff>37470</xdr:rowOff>
    </xdr:from>
    <xdr:to>
      <xdr:col>1</xdr:col>
      <xdr:colOff>2510118</xdr:colOff>
      <xdr:row>8</xdr:row>
      <xdr:rowOff>1766047</xdr:rowOff>
    </xdr:to>
    <xdr:pic>
      <xdr:nvPicPr>
        <xdr:cNvPr id="10" name="Рисунок 9" descr="Стол полукгруглый в цвете.jpg">
          <a:extLst>
            <a:ext uri="{FF2B5EF4-FFF2-40B4-BE49-F238E27FC236}">
              <a16:creationId xmlns:a16="http://schemas.microsoft.com/office/drawing/2014/main" id="{8E2477C6-CB7A-4CFB-842F-A7263C929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659" y="11219820"/>
          <a:ext cx="2353234" cy="1728577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425824</xdr:colOff>
      <xdr:row>28</xdr:row>
      <xdr:rowOff>18617</xdr:rowOff>
    </xdr:from>
    <xdr:to>
      <xdr:col>1</xdr:col>
      <xdr:colOff>2263587</xdr:colOff>
      <xdr:row>28</xdr:row>
      <xdr:rowOff>1743634</xdr:rowOff>
    </xdr:to>
    <xdr:pic>
      <xdr:nvPicPr>
        <xdr:cNvPr id="11" name="Рисунок 10" descr="Ромашка 1.6 в цвете.jpg">
          <a:extLst>
            <a:ext uri="{FF2B5EF4-FFF2-40B4-BE49-F238E27FC236}">
              <a16:creationId xmlns:a16="http://schemas.microsoft.com/office/drawing/2014/main" id="{B599D9B9-8CBE-414C-9918-A36B3C043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599" y="45852917"/>
          <a:ext cx="1837763" cy="1725017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365152</xdr:colOff>
      <xdr:row>22</xdr:row>
      <xdr:rowOff>44824</xdr:rowOff>
    </xdr:from>
    <xdr:to>
      <xdr:col>1</xdr:col>
      <xdr:colOff>2491438</xdr:colOff>
      <xdr:row>22</xdr:row>
      <xdr:rowOff>1934135</xdr:rowOff>
    </xdr:to>
    <xdr:pic>
      <xdr:nvPicPr>
        <xdr:cNvPr id="12" name="Рисунок 11" descr="Ромашка салатовый.jpg">
          <a:extLst>
            <a:ext uri="{FF2B5EF4-FFF2-40B4-BE49-F238E27FC236}">
              <a16:creationId xmlns:a16="http://schemas.microsoft.com/office/drawing/2014/main" id="{8A9E89AF-8038-4DAE-A525-ED9DA7B77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3927" y="34544374"/>
          <a:ext cx="2126286" cy="1889311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448236</xdr:colOff>
      <xdr:row>21</xdr:row>
      <xdr:rowOff>42316</xdr:rowOff>
    </xdr:from>
    <xdr:to>
      <xdr:col>1</xdr:col>
      <xdr:colOff>2375646</xdr:colOff>
      <xdr:row>21</xdr:row>
      <xdr:rowOff>1748117</xdr:rowOff>
    </xdr:to>
    <xdr:pic>
      <xdr:nvPicPr>
        <xdr:cNvPr id="13" name="Рисунок 12" descr="Ромашка.jpg">
          <a:extLst>
            <a:ext uri="{FF2B5EF4-FFF2-40B4-BE49-F238E27FC236}">
              <a16:creationId xmlns:a16="http://schemas.microsoft.com/office/drawing/2014/main" id="{E373C67E-F41E-455A-B705-A95592FA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11" y="32770216"/>
          <a:ext cx="1927410" cy="1705801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352214</xdr:colOff>
      <xdr:row>30</xdr:row>
      <xdr:rowOff>123265</xdr:rowOff>
    </xdr:from>
    <xdr:to>
      <xdr:col>1</xdr:col>
      <xdr:colOff>2514080</xdr:colOff>
      <xdr:row>30</xdr:row>
      <xdr:rowOff>1680883</xdr:rowOff>
    </xdr:to>
    <xdr:pic>
      <xdr:nvPicPr>
        <xdr:cNvPr id="14" name="Рисунок 13" descr="облачко.jpg">
          <a:extLst>
            <a:ext uri="{FF2B5EF4-FFF2-40B4-BE49-F238E27FC236}">
              <a16:creationId xmlns:a16="http://schemas.microsoft.com/office/drawing/2014/main" id="{61E0DF25-7291-42CE-99F6-285E8D89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980989" y="49500865"/>
          <a:ext cx="2161866" cy="1557618"/>
        </a:xfrm>
        <a:prstGeom prst="rect">
          <a:avLst/>
        </a:prstGeom>
      </xdr:spPr>
    </xdr:pic>
    <xdr:clientData fLocksWithSheet="0"/>
  </xdr:twoCellAnchor>
  <xdr:twoCellAnchor editAs="oneCell">
    <xdr:from>
      <xdr:col>6</xdr:col>
      <xdr:colOff>235324</xdr:colOff>
      <xdr:row>30</xdr:row>
      <xdr:rowOff>526677</xdr:rowOff>
    </xdr:from>
    <xdr:to>
      <xdr:col>8</xdr:col>
      <xdr:colOff>820644</xdr:colOff>
      <xdr:row>30</xdr:row>
      <xdr:rowOff>1703294</xdr:rowOff>
    </xdr:to>
    <xdr:pic>
      <xdr:nvPicPr>
        <xdr:cNvPr id="15" name="Рисунок 14" descr="обл.jpg">
          <a:extLst>
            <a:ext uri="{FF2B5EF4-FFF2-40B4-BE49-F238E27FC236}">
              <a16:creationId xmlns:a16="http://schemas.microsoft.com/office/drawing/2014/main" id="{D5D79301-5155-43BA-9900-D5ACDCEE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88724" y="49904277"/>
          <a:ext cx="1290169" cy="1176617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403411</xdr:colOff>
      <xdr:row>27</xdr:row>
      <xdr:rowOff>34460</xdr:rowOff>
    </xdr:from>
    <xdr:to>
      <xdr:col>1</xdr:col>
      <xdr:colOff>2386853</xdr:colOff>
      <xdr:row>27</xdr:row>
      <xdr:rowOff>1736914</xdr:rowOff>
    </xdr:to>
    <xdr:pic>
      <xdr:nvPicPr>
        <xdr:cNvPr id="16" name="Рисунок 15" descr="ромашка.jpg">
          <a:extLst>
            <a:ext uri="{FF2B5EF4-FFF2-40B4-BE49-F238E27FC236}">
              <a16:creationId xmlns:a16="http://schemas.microsoft.com/office/drawing/2014/main" id="{8F066E6E-EFFC-45AC-A628-142B15128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32186" y="44097110"/>
          <a:ext cx="1983442" cy="1702454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358589</xdr:colOff>
      <xdr:row>31</xdr:row>
      <xdr:rowOff>257734</xdr:rowOff>
    </xdr:from>
    <xdr:to>
      <xdr:col>1</xdr:col>
      <xdr:colOff>2207559</xdr:colOff>
      <xdr:row>31</xdr:row>
      <xdr:rowOff>1589559</xdr:rowOff>
    </xdr:to>
    <xdr:pic>
      <xdr:nvPicPr>
        <xdr:cNvPr id="17" name="Рисунок 16" descr="луна бук.jpg">
          <a:extLst>
            <a:ext uri="{FF2B5EF4-FFF2-40B4-BE49-F238E27FC236}">
              <a16:creationId xmlns:a16="http://schemas.microsoft.com/office/drawing/2014/main" id="{8995BFD3-931C-4D57-90EC-5193918E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987364" y="51645109"/>
          <a:ext cx="1848970" cy="1331825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212912</xdr:colOff>
      <xdr:row>10</xdr:row>
      <xdr:rowOff>90471</xdr:rowOff>
    </xdr:from>
    <xdr:to>
      <xdr:col>1</xdr:col>
      <xdr:colOff>2588560</xdr:colOff>
      <xdr:row>10</xdr:row>
      <xdr:rowOff>1882027</xdr:rowOff>
    </xdr:to>
    <xdr:pic>
      <xdr:nvPicPr>
        <xdr:cNvPr id="18" name="Рисунок 17" descr="трапеция.bmp">
          <a:extLst>
            <a:ext uri="{FF2B5EF4-FFF2-40B4-BE49-F238E27FC236}">
              <a16:creationId xmlns:a16="http://schemas.microsoft.com/office/drawing/2014/main" id="{91D03EF0-255C-4543-97DE-E7777200B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41687" y="15330471"/>
          <a:ext cx="2375648" cy="1791556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313765</xdr:colOff>
      <xdr:row>11</xdr:row>
      <xdr:rowOff>78440</xdr:rowOff>
    </xdr:from>
    <xdr:to>
      <xdr:col>1</xdr:col>
      <xdr:colOff>2445047</xdr:colOff>
      <xdr:row>11</xdr:row>
      <xdr:rowOff>1680320</xdr:rowOff>
    </xdr:to>
    <xdr:pic>
      <xdr:nvPicPr>
        <xdr:cNvPr id="19" name="Рисунок 18" descr="трбук.jpg">
          <a:extLst>
            <a:ext uri="{FF2B5EF4-FFF2-40B4-BE49-F238E27FC236}">
              <a16:creationId xmlns:a16="http://schemas.microsoft.com/office/drawing/2014/main" id="{FCFFDB93-988F-4B6A-A112-0DDF9BBA2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942540" y="17252015"/>
          <a:ext cx="2131282" cy="1601880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403411</xdr:colOff>
      <xdr:row>3</xdr:row>
      <xdr:rowOff>44824</xdr:rowOff>
    </xdr:from>
    <xdr:to>
      <xdr:col>1</xdr:col>
      <xdr:colOff>2273448</xdr:colOff>
      <xdr:row>3</xdr:row>
      <xdr:rowOff>1534646</xdr:rowOff>
    </xdr:to>
    <xdr:pic>
      <xdr:nvPicPr>
        <xdr:cNvPr id="20" name="Рисунок 19" descr="квцв.jpg">
          <a:extLst>
            <a:ext uri="{FF2B5EF4-FFF2-40B4-BE49-F238E27FC236}">
              <a16:creationId xmlns:a16="http://schemas.microsoft.com/office/drawing/2014/main" id="{74938F75-2191-4F15-81AB-42BA59CB1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32186" y="2435599"/>
          <a:ext cx="1870037" cy="1489822"/>
        </a:xfrm>
        <a:prstGeom prst="rect">
          <a:avLst/>
        </a:prstGeom>
      </xdr:spPr>
    </xdr:pic>
    <xdr:clientData fLocksWithSheet="0"/>
  </xdr:twoCellAnchor>
  <xdr:twoCellAnchor editAs="oneCell">
    <xdr:from>
      <xdr:col>6</xdr:col>
      <xdr:colOff>190500</xdr:colOff>
      <xdr:row>10</xdr:row>
      <xdr:rowOff>268940</xdr:rowOff>
    </xdr:from>
    <xdr:to>
      <xdr:col>11</xdr:col>
      <xdr:colOff>170461</xdr:colOff>
      <xdr:row>10</xdr:row>
      <xdr:rowOff>1747557</xdr:rowOff>
    </xdr:to>
    <xdr:pic>
      <xdr:nvPicPr>
        <xdr:cNvPr id="21" name="Рисунок 20" descr="трапеции в круг.jpg">
          <a:extLst>
            <a:ext uri="{FF2B5EF4-FFF2-40B4-BE49-F238E27FC236}">
              <a16:creationId xmlns:a16="http://schemas.microsoft.com/office/drawing/2014/main" id="{D6264D23-A181-41B2-9B34-55F9468A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343900" y="15508940"/>
          <a:ext cx="2332636" cy="1478617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537881</xdr:colOff>
      <xdr:row>12</xdr:row>
      <xdr:rowOff>68985</xdr:rowOff>
    </xdr:from>
    <xdr:to>
      <xdr:col>1</xdr:col>
      <xdr:colOff>2274794</xdr:colOff>
      <xdr:row>12</xdr:row>
      <xdr:rowOff>1433792</xdr:rowOff>
    </xdr:to>
    <xdr:pic>
      <xdr:nvPicPr>
        <xdr:cNvPr id="22" name="Рисунок 21" descr="прямоуголь.jpg">
          <a:extLst>
            <a:ext uri="{FF2B5EF4-FFF2-40B4-BE49-F238E27FC236}">
              <a16:creationId xmlns:a16="http://schemas.microsoft.com/office/drawing/2014/main" id="{BD850586-5392-439C-93A3-00EAE0368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166656" y="19004685"/>
          <a:ext cx="1736913" cy="1364807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414617</xdr:colOff>
      <xdr:row>14</xdr:row>
      <xdr:rowOff>33617</xdr:rowOff>
    </xdr:from>
    <xdr:to>
      <xdr:col>1</xdr:col>
      <xdr:colOff>2264312</xdr:colOff>
      <xdr:row>14</xdr:row>
      <xdr:rowOff>1478618</xdr:rowOff>
    </xdr:to>
    <xdr:pic>
      <xdr:nvPicPr>
        <xdr:cNvPr id="23" name="Рисунок 22" descr="прбук.jpg">
          <a:extLst>
            <a:ext uri="{FF2B5EF4-FFF2-40B4-BE49-F238E27FC236}">
              <a16:creationId xmlns:a16="http://schemas.microsoft.com/office/drawing/2014/main" id="{3D62FA4B-E144-4212-80B9-82169F6F4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43392" y="21903017"/>
          <a:ext cx="1849695" cy="1445001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291353</xdr:colOff>
      <xdr:row>37</xdr:row>
      <xdr:rowOff>78443</xdr:rowOff>
    </xdr:from>
    <xdr:to>
      <xdr:col>1</xdr:col>
      <xdr:colOff>2432008</xdr:colOff>
      <xdr:row>37</xdr:row>
      <xdr:rowOff>1591237</xdr:rowOff>
    </xdr:to>
    <xdr:pic>
      <xdr:nvPicPr>
        <xdr:cNvPr id="24" name="Picture 1" descr="http://vertikal-nn.ru/sites/default/files/d7c_commerce_images/610011.jpg">
          <a:extLst>
            <a:ext uri="{FF2B5EF4-FFF2-40B4-BE49-F238E27FC236}">
              <a16:creationId xmlns:a16="http://schemas.microsoft.com/office/drawing/2014/main" id="{00CE52C0-5CBD-412C-A82A-A28071DA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0128" y="63514943"/>
          <a:ext cx="2140655" cy="1512794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358589</xdr:colOff>
      <xdr:row>32</xdr:row>
      <xdr:rowOff>123265</xdr:rowOff>
    </xdr:from>
    <xdr:to>
      <xdr:col>1</xdr:col>
      <xdr:colOff>2423932</xdr:colOff>
      <xdr:row>32</xdr:row>
      <xdr:rowOff>1815353</xdr:rowOff>
    </xdr:to>
    <xdr:pic>
      <xdr:nvPicPr>
        <xdr:cNvPr id="25" name="Рисунок 24" descr="луна.jpg">
          <a:extLst>
            <a:ext uri="{FF2B5EF4-FFF2-40B4-BE49-F238E27FC236}">
              <a16:creationId xmlns:a16="http://schemas.microsoft.com/office/drawing/2014/main" id="{5AC0FD17-18B4-4E51-AC69-CDB1EA538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987364" y="53415640"/>
          <a:ext cx="2065343" cy="1692088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151914</xdr:colOff>
      <xdr:row>33</xdr:row>
      <xdr:rowOff>100853</xdr:rowOff>
    </xdr:from>
    <xdr:to>
      <xdr:col>1</xdr:col>
      <xdr:colOff>2554939</xdr:colOff>
      <xdr:row>33</xdr:row>
      <xdr:rowOff>1987645</xdr:rowOff>
    </xdr:to>
    <xdr:pic>
      <xdr:nvPicPr>
        <xdr:cNvPr id="26" name="Рисунок 25" descr="Стол с вырезом.jpg">
          <a:extLst>
            <a:ext uri="{FF2B5EF4-FFF2-40B4-BE49-F238E27FC236}">
              <a16:creationId xmlns:a16="http://schemas.microsoft.com/office/drawing/2014/main" id="{9534E26E-C48F-49E4-B5FF-6E6605D35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0689" y="55298228"/>
          <a:ext cx="2403025" cy="1886792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430041</xdr:colOff>
      <xdr:row>34</xdr:row>
      <xdr:rowOff>212913</xdr:rowOff>
    </xdr:from>
    <xdr:to>
      <xdr:col>1</xdr:col>
      <xdr:colOff>2589118</xdr:colOff>
      <xdr:row>34</xdr:row>
      <xdr:rowOff>1807510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863D4CD2-9882-4C32-A800-FD78A160D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8816" y="57562938"/>
          <a:ext cx="2159077" cy="1594597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403410</xdr:colOff>
      <xdr:row>23</xdr:row>
      <xdr:rowOff>89647</xdr:rowOff>
    </xdr:from>
    <xdr:to>
      <xdr:col>1</xdr:col>
      <xdr:colOff>2285999</xdr:colOff>
      <xdr:row>23</xdr:row>
      <xdr:rowOff>1566357</xdr:rowOff>
    </xdr:to>
    <xdr:pic>
      <xdr:nvPicPr>
        <xdr:cNvPr id="28" name="Рисунок 5" descr="Ромашка 2 части.jpg">
          <a:extLst>
            <a:ext uri="{FF2B5EF4-FFF2-40B4-BE49-F238E27FC236}">
              <a16:creationId xmlns:a16="http://schemas.microsoft.com/office/drawing/2014/main" id="{4845F46F-1724-4EF7-A9AF-0CBB15D3F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r:link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185" y="36579922"/>
          <a:ext cx="1882589" cy="1476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343646</xdr:colOff>
      <xdr:row>24</xdr:row>
      <xdr:rowOff>224117</xdr:rowOff>
    </xdr:from>
    <xdr:to>
      <xdr:col>1</xdr:col>
      <xdr:colOff>2465293</xdr:colOff>
      <xdr:row>24</xdr:row>
      <xdr:rowOff>1891685</xdr:rowOff>
    </xdr:to>
    <xdr:pic>
      <xdr:nvPicPr>
        <xdr:cNvPr id="29" name="Рисунок 6" descr="Ромашка 2 части цвет.jpg">
          <a:extLst>
            <a:ext uri="{FF2B5EF4-FFF2-40B4-BE49-F238E27FC236}">
              <a16:creationId xmlns:a16="http://schemas.microsoft.com/office/drawing/2014/main" id="{FE01ED9C-AD9D-4642-A85D-E9B44DD3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r:link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2421" y="38486042"/>
          <a:ext cx="2121647" cy="1667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448235</xdr:colOff>
      <xdr:row>25</xdr:row>
      <xdr:rowOff>44822</xdr:rowOff>
    </xdr:from>
    <xdr:to>
      <xdr:col>1</xdr:col>
      <xdr:colOff>2203823</xdr:colOff>
      <xdr:row>25</xdr:row>
      <xdr:rowOff>1641660</xdr:rowOff>
    </xdr:to>
    <xdr:pic>
      <xdr:nvPicPr>
        <xdr:cNvPr id="30" name="Рисунок 7" descr="Ромашка 3 части бук.jpg">
          <a:extLst>
            <a:ext uri="{FF2B5EF4-FFF2-40B4-BE49-F238E27FC236}">
              <a16:creationId xmlns:a16="http://schemas.microsoft.com/office/drawing/2014/main" id="{45DAD442-F49C-4344-BB55-C5CB052DE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r:link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7010" y="40564172"/>
          <a:ext cx="1755588" cy="1596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433294</xdr:colOff>
      <xdr:row>26</xdr:row>
      <xdr:rowOff>67235</xdr:rowOff>
    </xdr:from>
    <xdr:to>
      <xdr:col>1</xdr:col>
      <xdr:colOff>2211294</xdr:colOff>
      <xdr:row>26</xdr:row>
      <xdr:rowOff>1647680</xdr:rowOff>
    </xdr:to>
    <xdr:pic>
      <xdr:nvPicPr>
        <xdr:cNvPr id="31" name="Рисунок 8" descr="Ромашка 3 части цвет.jpg">
          <a:extLst>
            <a:ext uri="{FF2B5EF4-FFF2-40B4-BE49-F238E27FC236}">
              <a16:creationId xmlns:a16="http://schemas.microsoft.com/office/drawing/2014/main" id="{35BF6365-66D5-4DEA-9C89-C1ACA4E26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r:link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2069" y="42358235"/>
          <a:ext cx="1778000" cy="1580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336177</xdr:colOff>
      <xdr:row>2</xdr:row>
      <xdr:rowOff>112058</xdr:rowOff>
    </xdr:from>
    <xdr:to>
      <xdr:col>1</xdr:col>
      <xdr:colOff>2532530</xdr:colOff>
      <xdr:row>2</xdr:row>
      <xdr:rowOff>1389529</xdr:rowOff>
    </xdr:to>
    <xdr:pic>
      <xdr:nvPicPr>
        <xdr:cNvPr id="32" name="Рисунок 31" descr="C:\Users\User10\AppData\Local\Microsoft\Windows\Temporary Internet Files\Content.Outlook\DEMPPVVP\DSC_4942.png">
          <a:extLst>
            <a:ext uri="{FF2B5EF4-FFF2-40B4-BE49-F238E27FC236}">
              <a16:creationId xmlns:a16="http://schemas.microsoft.com/office/drawing/2014/main" id="{3A726402-D9B8-4052-A8E5-E7754D094622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4952" y="731183"/>
          <a:ext cx="2196353" cy="1277471"/>
        </a:xfrm>
        <a:prstGeom prst="rect">
          <a:avLst/>
        </a:prstGeom>
        <a:noFill/>
        <a:ln>
          <a:noFill/>
        </a:ln>
      </xdr:spPr>
    </xdr:pic>
    <xdr:clientData fLocksWithSheet="0"/>
  </xdr:twoCellAnchor>
  <xdr:twoCellAnchor editAs="oneCell">
    <xdr:from>
      <xdr:col>1</xdr:col>
      <xdr:colOff>537881</xdr:colOff>
      <xdr:row>13</xdr:row>
      <xdr:rowOff>68985</xdr:rowOff>
    </xdr:from>
    <xdr:to>
      <xdr:col>1</xdr:col>
      <xdr:colOff>2274794</xdr:colOff>
      <xdr:row>13</xdr:row>
      <xdr:rowOff>1433792</xdr:rowOff>
    </xdr:to>
    <xdr:pic>
      <xdr:nvPicPr>
        <xdr:cNvPr id="33" name="Рисунок 32" descr="прямоуголь.jpg">
          <a:extLst>
            <a:ext uri="{FF2B5EF4-FFF2-40B4-BE49-F238E27FC236}">
              <a16:creationId xmlns:a16="http://schemas.microsoft.com/office/drawing/2014/main" id="{9C6D3A9D-0F94-4A20-887F-EAE98622C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166656" y="20471535"/>
          <a:ext cx="1736913" cy="1364807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414617</xdr:colOff>
      <xdr:row>15</xdr:row>
      <xdr:rowOff>33617</xdr:rowOff>
    </xdr:from>
    <xdr:to>
      <xdr:col>1</xdr:col>
      <xdr:colOff>2264312</xdr:colOff>
      <xdr:row>15</xdr:row>
      <xdr:rowOff>1478618</xdr:rowOff>
    </xdr:to>
    <xdr:pic>
      <xdr:nvPicPr>
        <xdr:cNvPr id="34" name="Рисунок 33" descr="прбук.jpg">
          <a:extLst>
            <a:ext uri="{FF2B5EF4-FFF2-40B4-BE49-F238E27FC236}">
              <a16:creationId xmlns:a16="http://schemas.microsoft.com/office/drawing/2014/main" id="{B7EAF431-C4D7-4885-BD50-C12D336A4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43392" y="23417492"/>
          <a:ext cx="1849695" cy="1445001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268941</xdr:colOff>
      <xdr:row>9</xdr:row>
      <xdr:rowOff>78441</xdr:rowOff>
    </xdr:from>
    <xdr:to>
      <xdr:col>1</xdr:col>
      <xdr:colOff>2398059</xdr:colOff>
      <xdr:row>9</xdr:row>
      <xdr:rowOff>1637010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E383F93-6469-4449-9A0C-33F52FBE5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7716" y="13032441"/>
          <a:ext cx="2129118" cy="1558569"/>
        </a:xfrm>
        <a:prstGeom prst="rect">
          <a:avLst/>
        </a:prstGeom>
      </xdr:spPr>
    </xdr:pic>
    <xdr:clientData/>
  </xdr:twoCellAnchor>
  <xdr:twoCellAnchor editAs="oneCell">
    <xdr:from>
      <xdr:col>1</xdr:col>
      <xdr:colOff>537882</xdr:colOff>
      <xdr:row>35</xdr:row>
      <xdr:rowOff>89647</xdr:rowOff>
    </xdr:from>
    <xdr:to>
      <xdr:col>1</xdr:col>
      <xdr:colOff>2375646</xdr:colOff>
      <xdr:row>35</xdr:row>
      <xdr:rowOff>2094481</xdr:rowOff>
    </xdr:to>
    <xdr:pic>
      <xdr:nvPicPr>
        <xdr:cNvPr id="36" name="Рисунок 35" descr="стол логопедический код00032641.jpg">
          <a:extLst>
            <a:ext uri="{FF2B5EF4-FFF2-40B4-BE49-F238E27FC236}">
              <a16:creationId xmlns:a16="http://schemas.microsoft.com/office/drawing/2014/main" id="{8D3B1B11-D93B-4311-9862-668BD229E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166657" y="59592322"/>
          <a:ext cx="1837764" cy="2004834"/>
        </a:xfrm>
        <a:prstGeom prst="rect">
          <a:avLst/>
        </a:prstGeom>
      </xdr:spPr>
    </xdr:pic>
    <xdr:clientData/>
  </xdr:twoCellAnchor>
  <xdr:twoCellAnchor editAs="oneCell">
    <xdr:from>
      <xdr:col>1</xdr:col>
      <xdr:colOff>425823</xdr:colOff>
      <xdr:row>4</xdr:row>
      <xdr:rowOff>100853</xdr:rowOff>
    </xdr:from>
    <xdr:to>
      <xdr:col>1</xdr:col>
      <xdr:colOff>2375647</xdr:colOff>
      <xdr:row>4</xdr:row>
      <xdr:rowOff>1775013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208AB02-0AB0-494C-A42C-72FD41668B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54598" y="4063253"/>
          <a:ext cx="1949824" cy="1674160"/>
        </a:xfrm>
        <a:prstGeom prst="rect">
          <a:avLst/>
        </a:prstGeom>
      </xdr:spPr>
    </xdr:pic>
    <xdr:clientData/>
  </xdr:twoCellAnchor>
  <xdr:twoCellAnchor editAs="oneCell">
    <xdr:from>
      <xdr:col>1</xdr:col>
      <xdr:colOff>280147</xdr:colOff>
      <xdr:row>16</xdr:row>
      <xdr:rowOff>11206</xdr:rowOff>
    </xdr:from>
    <xdr:to>
      <xdr:col>1</xdr:col>
      <xdr:colOff>2386853</xdr:colOff>
      <xdr:row>16</xdr:row>
      <xdr:rowOff>1694890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379B10E-CABC-481C-8A0A-6A0B2C255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922" y="24909556"/>
          <a:ext cx="2106706" cy="1683684"/>
        </a:xfrm>
        <a:prstGeom prst="rect">
          <a:avLst/>
        </a:prstGeom>
      </xdr:spPr>
    </xdr:pic>
    <xdr:clientData/>
  </xdr:twoCellAnchor>
  <xdr:twoCellAnchor editAs="oneCell">
    <xdr:from>
      <xdr:col>1</xdr:col>
      <xdr:colOff>437030</xdr:colOff>
      <xdr:row>29</xdr:row>
      <xdr:rowOff>78440</xdr:rowOff>
    </xdr:from>
    <xdr:to>
      <xdr:col>1</xdr:col>
      <xdr:colOff>2263587</xdr:colOff>
      <xdr:row>29</xdr:row>
      <xdr:rowOff>1735706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4F4B2228-ADD6-4ADF-A3A8-D03AA761F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805" y="47684390"/>
          <a:ext cx="1826557" cy="1657266"/>
        </a:xfrm>
        <a:prstGeom prst="rect">
          <a:avLst/>
        </a:prstGeom>
      </xdr:spPr>
    </xdr:pic>
    <xdr:clientData/>
  </xdr:twoCellAnchor>
  <xdr:twoCellAnchor editAs="oneCell">
    <xdr:from>
      <xdr:col>8</xdr:col>
      <xdr:colOff>895350</xdr:colOff>
      <xdr:row>0</xdr:row>
      <xdr:rowOff>47624</xdr:rowOff>
    </xdr:from>
    <xdr:to>
      <xdr:col>10</xdr:col>
      <xdr:colOff>130196</xdr:colOff>
      <xdr:row>2</xdr:row>
      <xdr:rowOff>209153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9C5FB576-2869-4CE9-A2AD-22CF64B84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258" r="1884"/>
        <a:stretch/>
      </xdr:blipFill>
      <xdr:spPr>
        <a:xfrm rot="20918134">
          <a:off x="9648825" y="47624"/>
          <a:ext cx="539771" cy="5996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818032</xdr:colOff>
      <xdr:row>58</xdr:row>
      <xdr:rowOff>57247</xdr:rowOff>
    </xdr:from>
    <xdr:to>
      <xdr:col>1</xdr:col>
      <xdr:colOff>1916206</xdr:colOff>
      <xdr:row>58</xdr:row>
      <xdr:rowOff>1705266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618230A-9CC7-44DB-9D55-E5BB6D803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082" y="110375797"/>
          <a:ext cx="1098174" cy="1648019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840441</xdr:colOff>
      <xdr:row>41</xdr:row>
      <xdr:rowOff>56030</xdr:rowOff>
    </xdr:from>
    <xdr:to>
      <xdr:col>1</xdr:col>
      <xdr:colOff>1959438</xdr:colOff>
      <xdr:row>41</xdr:row>
      <xdr:rowOff>1656992</xdr:rowOff>
    </xdr:to>
    <xdr:pic>
      <xdr:nvPicPr>
        <xdr:cNvPr id="3" name="Рисунок 2" descr="Шкаф для полотенец навесной (3 секции) цвет.jpg">
          <a:extLst>
            <a:ext uri="{FF2B5EF4-FFF2-40B4-BE49-F238E27FC236}">
              <a16:creationId xmlns:a16="http://schemas.microsoft.com/office/drawing/2014/main" id="{FA051D48-CAAF-4F85-9A5B-99B7F561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2491" y="79742180"/>
          <a:ext cx="1118997" cy="1600962"/>
        </a:xfrm>
        <a:prstGeom prst="rect">
          <a:avLst/>
        </a:prstGeom>
      </xdr:spPr>
    </xdr:pic>
    <xdr:clientData/>
  </xdr:twoCellAnchor>
  <xdr:twoCellAnchor editAs="oneCell">
    <xdr:from>
      <xdr:col>1</xdr:col>
      <xdr:colOff>1030941</xdr:colOff>
      <xdr:row>43</xdr:row>
      <xdr:rowOff>44823</xdr:rowOff>
    </xdr:from>
    <xdr:to>
      <xdr:col>1</xdr:col>
      <xdr:colOff>2028399</xdr:colOff>
      <xdr:row>43</xdr:row>
      <xdr:rowOff>1654167</xdr:rowOff>
    </xdr:to>
    <xdr:pic>
      <xdr:nvPicPr>
        <xdr:cNvPr id="4" name="Рисунок 3" descr="Шкаф для полотенец напольный (3 секции) цвет.jpg">
          <a:extLst>
            <a:ext uri="{FF2B5EF4-FFF2-40B4-BE49-F238E27FC236}">
              <a16:creationId xmlns:a16="http://schemas.microsoft.com/office/drawing/2014/main" id="{4485A81B-5AC5-43E6-9A53-C1F2B7A5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2991" y="83274273"/>
          <a:ext cx="997458" cy="1609344"/>
        </a:xfrm>
        <a:prstGeom prst="rect">
          <a:avLst/>
        </a:prstGeom>
      </xdr:spPr>
    </xdr:pic>
    <xdr:clientData/>
  </xdr:twoCellAnchor>
  <xdr:twoCellAnchor editAs="oneCell">
    <xdr:from>
      <xdr:col>1</xdr:col>
      <xdr:colOff>974911</xdr:colOff>
      <xdr:row>45</xdr:row>
      <xdr:rowOff>145676</xdr:rowOff>
    </xdr:from>
    <xdr:to>
      <xdr:col>1</xdr:col>
      <xdr:colOff>2028264</xdr:colOff>
      <xdr:row>45</xdr:row>
      <xdr:rowOff>2013978</xdr:rowOff>
    </xdr:to>
    <xdr:pic>
      <xdr:nvPicPr>
        <xdr:cNvPr id="5" name="Рисунок 4" descr="Шкаф для полотенец 2-яруса напольный (3 секции) цвет.jpg">
          <a:extLst>
            <a:ext uri="{FF2B5EF4-FFF2-40B4-BE49-F238E27FC236}">
              <a16:creationId xmlns:a16="http://schemas.microsoft.com/office/drawing/2014/main" id="{53271ACB-FFE6-448D-86A6-505215E6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6961" y="87175601"/>
          <a:ext cx="1053353" cy="1868302"/>
        </a:xfrm>
        <a:prstGeom prst="rect">
          <a:avLst/>
        </a:prstGeom>
      </xdr:spPr>
    </xdr:pic>
    <xdr:clientData/>
  </xdr:twoCellAnchor>
  <xdr:twoCellAnchor editAs="oneCell">
    <xdr:from>
      <xdr:col>1</xdr:col>
      <xdr:colOff>818029</xdr:colOff>
      <xdr:row>47</xdr:row>
      <xdr:rowOff>89647</xdr:rowOff>
    </xdr:from>
    <xdr:to>
      <xdr:col>1</xdr:col>
      <xdr:colOff>2110953</xdr:colOff>
      <xdr:row>47</xdr:row>
      <xdr:rowOff>1686418</xdr:rowOff>
    </xdr:to>
    <xdr:pic>
      <xdr:nvPicPr>
        <xdr:cNvPr id="6" name="Рисунок 5" descr="Шкаф для полотенец навесной (4 секции) цвет.jpg">
          <a:extLst>
            <a:ext uri="{FF2B5EF4-FFF2-40B4-BE49-F238E27FC236}">
              <a16:creationId xmlns:a16="http://schemas.microsoft.com/office/drawing/2014/main" id="{8BBACEDE-A897-4E4B-B68C-44ADC6270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079" y="90920047"/>
          <a:ext cx="1292924" cy="1596771"/>
        </a:xfrm>
        <a:prstGeom prst="rect">
          <a:avLst/>
        </a:prstGeom>
      </xdr:spPr>
    </xdr:pic>
    <xdr:clientData/>
  </xdr:twoCellAnchor>
  <xdr:twoCellAnchor editAs="oneCell">
    <xdr:from>
      <xdr:col>1</xdr:col>
      <xdr:colOff>862853</xdr:colOff>
      <xdr:row>49</xdr:row>
      <xdr:rowOff>78441</xdr:rowOff>
    </xdr:from>
    <xdr:to>
      <xdr:col>1</xdr:col>
      <xdr:colOff>2076148</xdr:colOff>
      <xdr:row>49</xdr:row>
      <xdr:rowOff>1687785</xdr:rowOff>
    </xdr:to>
    <xdr:pic>
      <xdr:nvPicPr>
        <xdr:cNvPr id="7" name="Рисунок 6" descr="Шкаф для полотенец напольный (4 секции) цвет.jpg">
          <a:extLst>
            <a:ext uri="{FF2B5EF4-FFF2-40B4-BE49-F238E27FC236}">
              <a16:creationId xmlns:a16="http://schemas.microsoft.com/office/drawing/2014/main" id="{2EE3B210-4B16-4CBF-A1BC-60A3A1D0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903" y="94452141"/>
          <a:ext cx="1213295" cy="1609344"/>
        </a:xfrm>
        <a:prstGeom prst="rect">
          <a:avLst/>
        </a:prstGeom>
      </xdr:spPr>
    </xdr:pic>
    <xdr:clientData/>
  </xdr:twoCellAnchor>
  <xdr:twoCellAnchor editAs="oneCell">
    <xdr:from>
      <xdr:col>1</xdr:col>
      <xdr:colOff>1075765</xdr:colOff>
      <xdr:row>51</xdr:row>
      <xdr:rowOff>78441</xdr:rowOff>
    </xdr:from>
    <xdr:to>
      <xdr:col>1</xdr:col>
      <xdr:colOff>2058555</xdr:colOff>
      <xdr:row>51</xdr:row>
      <xdr:rowOff>1637493</xdr:rowOff>
    </xdr:to>
    <xdr:pic>
      <xdr:nvPicPr>
        <xdr:cNvPr id="8" name="Рисунок 7" descr="Шкаф для полотенец 2-яруса напольный (4 секции) цвет.jpg">
          <a:extLst>
            <a:ext uri="{FF2B5EF4-FFF2-40B4-BE49-F238E27FC236}">
              <a16:creationId xmlns:a16="http://schemas.microsoft.com/office/drawing/2014/main" id="{34D28083-6D9B-40DC-9349-068EDDAD8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7815" y="97995441"/>
          <a:ext cx="982790" cy="1559052"/>
        </a:xfrm>
        <a:prstGeom prst="rect">
          <a:avLst/>
        </a:prstGeom>
      </xdr:spPr>
    </xdr:pic>
    <xdr:clientData/>
  </xdr:twoCellAnchor>
  <xdr:twoCellAnchor editAs="oneCell">
    <xdr:from>
      <xdr:col>1</xdr:col>
      <xdr:colOff>795617</xdr:colOff>
      <xdr:row>53</xdr:row>
      <xdr:rowOff>179294</xdr:rowOff>
    </xdr:from>
    <xdr:to>
      <xdr:col>1</xdr:col>
      <xdr:colOff>2174456</xdr:colOff>
      <xdr:row>53</xdr:row>
      <xdr:rowOff>1616807</xdr:rowOff>
    </xdr:to>
    <xdr:pic>
      <xdr:nvPicPr>
        <xdr:cNvPr id="9" name="Рисунок 8" descr="Шкаф для полотенец навесной (5 секции) цвет.jpg">
          <a:extLst>
            <a:ext uri="{FF2B5EF4-FFF2-40B4-BE49-F238E27FC236}">
              <a16:creationId xmlns:a16="http://schemas.microsoft.com/office/drawing/2014/main" id="{4E316281-6A43-487A-B221-4FBDFF3CD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667" y="101639594"/>
          <a:ext cx="1378839" cy="1437513"/>
        </a:xfrm>
        <a:prstGeom prst="rect">
          <a:avLst/>
        </a:prstGeom>
      </xdr:spPr>
    </xdr:pic>
    <xdr:clientData/>
  </xdr:twoCellAnchor>
  <xdr:twoCellAnchor editAs="oneCell">
    <xdr:from>
      <xdr:col>1</xdr:col>
      <xdr:colOff>750794</xdr:colOff>
      <xdr:row>55</xdr:row>
      <xdr:rowOff>100853</xdr:rowOff>
    </xdr:from>
    <xdr:to>
      <xdr:col>1</xdr:col>
      <xdr:colOff>2131729</xdr:colOff>
      <xdr:row>55</xdr:row>
      <xdr:rowOff>1710197</xdr:rowOff>
    </xdr:to>
    <xdr:pic>
      <xdr:nvPicPr>
        <xdr:cNvPr id="10" name="Рисунок 9" descr="Шкаф для полотенец напольный (5 секции) цвет.jpg">
          <a:extLst>
            <a:ext uri="{FF2B5EF4-FFF2-40B4-BE49-F238E27FC236}">
              <a16:creationId xmlns:a16="http://schemas.microsoft.com/office/drawing/2014/main" id="{F95921E5-0CA4-40A2-95B3-59CD4A697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844" y="105104453"/>
          <a:ext cx="1380935" cy="1609344"/>
        </a:xfrm>
        <a:prstGeom prst="rect">
          <a:avLst/>
        </a:prstGeom>
      </xdr:spPr>
    </xdr:pic>
    <xdr:clientData/>
  </xdr:twoCellAnchor>
  <xdr:twoCellAnchor editAs="oneCell">
    <xdr:from>
      <xdr:col>1</xdr:col>
      <xdr:colOff>941294</xdr:colOff>
      <xdr:row>57</xdr:row>
      <xdr:rowOff>78442</xdr:rowOff>
    </xdr:from>
    <xdr:to>
      <xdr:col>1</xdr:col>
      <xdr:colOff>2045623</xdr:colOff>
      <xdr:row>57</xdr:row>
      <xdr:rowOff>1635399</xdr:rowOff>
    </xdr:to>
    <xdr:pic>
      <xdr:nvPicPr>
        <xdr:cNvPr id="11" name="Рисунок 10" descr="Шкаф для полотенец 2-яруса напольный (5 секции) цвет.jpg">
          <a:extLst>
            <a:ext uri="{FF2B5EF4-FFF2-40B4-BE49-F238E27FC236}">
              <a16:creationId xmlns:a16="http://schemas.microsoft.com/office/drawing/2014/main" id="{CA74AC44-7DDE-4183-AAA2-87E84311C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3344" y="108625342"/>
          <a:ext cx="1104329" cy="15569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0</xdr:colOff>
      <xdr:row>10</xdr:row>
      <xdr:rowOff>0</xdr:rowOff>
    </xdr:to>
    <xdr:pic>
      <xdr:nvPicPr>
        <xdr:cNvPr id="12" name="Рисунок 11" descr="Кабинка детская 5-ти секционная.jpg">
          <a:extLst>
            <a:ext uri="{FF2B5EF4-FFF2-40B4-BE49-F238E27FC236}">
              <a16:creationId xmlns:a16="http://schemas.microsoft.com/office/drawing/2014/main" id="{77E10DBB-BDBC-4248-A734-439F5C47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62050" y="17249775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280147</xdr:colOff>
      <xdr:row>2</xdr:row>
      <xdr:rowOff>156882</xdr:rowOff>
    </xdr:from>
    <xdr:to>
      <xdr:col>1</xdr:col>
      <xdr:colOff>2505187</xdr:colOff>
      <xdr:row>2</xdr:row>
      <xdr:rowOff>1947582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F4C07EB-B62D-4FBE-8D31-1132DDDB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197" y="718857"/>
          <a:ext cx="2225040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280147</xdr:colOff>
      <xdr:row>3</xdr:row>
      <xdr:rowOff>89647</xdr:rowOff>
    </xdr:from>
    <xdr:to>
      <xdr:col>1</xdr:col>
      <xdr:colOff>2505187</xdr:colOff>
      <xdr:row>3</xdr:row>
      <xdr:rowOff>1880347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450F5EC-AB36-47C6-BDCD-F1641ECC9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197" y="2737597"/>
          <a:ext cx="2225040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672353</xdr:colOff>
      <xdr:row>11</xdr:row>
      <xdr:rowOff>22412</xdr:rowOff>
    </xdr:from>
    <xdr:to>
      <xdr:col>1</xdr:col>
      <xdr:colOff>2151529</xdr:colOff>
      <xdr:row>11</xdr:row>
      <xdr:rowOff>1913237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33946D3-4651-468C-8A1D-D15985780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4403" y="19358162"/>
          <a:ext cx="1479176" cy="1890825"/>
        </a:xfrm>
        <a:prstGeom prst="rect">
          <a:avLst/>
        </a:prstGeom>
      </xdr:spPr>
    </xdr:pic>
    <xdr:clientData/>
  </xdr:twoCellAnchor>
  <xdr:twoCellAnchor>
    <xdr:from>
      <xdr:col>1</xdr:col>
      <xdr:colOff>616323</xdr:colOff>
      <xdr:row>19</xdr:row>
      <xdr:rowOff>11206</xdr:rowOff>
    </xdr:from>
    <xdr:to>
      <xdr:col>1</xdr:col>
      <xdr:colOff>2196351</xdr:colOff>
      <xdr:row>19</xdr:row>
      <xdr:rowOff>2096786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id="{883A7691-83A6-4F46-870A-7836AB7DB87B}"/>
            </a:ext>
          </a:extLst>
        </xdr:cNvPr>
        <xdr:cNvGrpSpPr/>
      </xdr:nvGrpSpPr>
      <xdr:grpSpPr>
        <a:xfrm>
          <a:off x="1778373" y="35910931"/>
          <a:ext cx="1580028" cy="2085580"/>
          <a:chOff x="1636059" y="219624087"/>
          <a:chExt cx="1580028" cy="2085580"/>
        </a:xfrm>
      </xdr:grpSpPr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55DAFD2-64E2-E7CD-1A63-D0E8FAF333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36059" y="219624087"/>
            <a:ext cx="661147" cy="2040841"/>
          </a:xfrm>
          <a:prstGeom prst="rect">
            <a:avLst/>
          </a:prstGeom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970DDC7E-706C-9F2C-B75F-F15CAB187F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36852" y="219639616"/>
            <a:ext cx="679235" cy="207005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336177</xdr:colOff>
      <xdr:row>20</xdr:row>
      <xdr:rowOff>67235</xdr:rowOff>
    </xdr:from>
    <xdr:to>
      <xdr:col>1</xdr:col>
      <xdr:colOff>2113176</xdr:colOff>
      <xdr:row>20</xdr:row>
      <xdr:rowOff>2199648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67EDF163-8FFE-402E-8788-4432AF8F0ABA}"/>
            </a:ext>
          </a:extLst>
        </xdr:cNvPr>
        <xdr:cNvGrpSpPr/>
      </xdr:nvGrpSpPr>
      <xdr:grpSpPr>
        <a:xfrm>
          <a:off x="1498227" y="38214860"/>
          <a:ext cx="1776999" cy="2132413"/>
          <a:chOff x="1580030" y="221880795"/>
          <a:chExt cx="1776999" cy="2132413"/>
        </a:xfrm>
      </xdr:grpSpPr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9DDDAFF7-5A06-3C9B-FE00-6F229CBF4A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80030" y="221910088"/>
            <a:ext cx="681323" cy="2103120"/>
          </a:xfrm>
          <a:prstGeom prst="rect">
            <a:avLst/>
          </a:prstGeom>
        </xdr:spPr>
      </xdr:pic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621C067A-0745-2E05-A77F-3CB30EB9A5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71324" y="221880795"/>
            <a:ext cx="685705" cy="210312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395408</xdr:colOff>
      <xdr:row>21</xdr:row>
      <xdr:rowOff>47224</xdr:rowOff>
    </xdr:from>
    <xdr:to>
      <xdr:col>1</xdr:col>
      <xdr:colOff>2388816</xdr:colOff>
      <xdr:row>21</xdr:row>
      <xdr:rowOff>1967464</xdr:rowOff>
    </xdr:to>
    <xdr:grpSp>
      <xdr:nvGrpSpPr>
        <xdr:cNvPr id="22" name="Группа 21">
          <a:extLst>
            <a:ext uri="{FF2B5EF4-FFF2-40B4-BE49-F238E27FC236}">
              <a16:creationId xmlns:a16="http://schemas.microsoft.com/office/drawing/2014/main" id="{EBCF9C4D-7B5C-4CBB-A7E1-2E436E1DC765}"/>
            </a:ext>
          </a:extLst>
        </xdr:cNvPr>
        <xdr:cNvGrpSpPr/>
      </xdr:nvGrpSpPr>
      <xdr:grpSpPr>
        <a:xfrm>
          <a:off x="1557458" y="40547524"/>
          <a:ext cx="1993408" cy="1920240"/>
          <a:chOff x="1456765" y="226195058"/>
          <a:chExt cx="1993408" cy="1920240"/>
        </a:xfrm>
      </xdr:grpSpPr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B2E5FEF8-681C-5E8D-4F5B-E95868874A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56765" y="226280381"/>
            <a:ext cx="850106" cy="1819387"/>
          </a:xfrm>
          <a:prstGeom prst="rect">
            <a:avLst/>
          </a:prstGeom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1D32111A-685F-C497-E0CF-3DC5C09BD8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48060" y="226195058"/>
            <a:ext cx="902113" cy="192024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347382</xdr:colOff>
      <xdr:row>22</xdr:row>
      <xdr:rowOff>56030</xdr:rowOff>
    </xdr:from>
    <xdr:to>
      <xdr:col>1</xdr:col>
      <xdr:colOff>2251959</xdr:colOff>
      <xdr:row>22</xdr:row>
      <xdr:rowOff>1980593</xdr:rowOff>
    </xdr:to>
    <xdr:grpSp>
      <xdr:nvGrpSpPr>
        <xdr:cNvPr id="25" name="Группа 24">
          <a:extLst>
            <a:ext uri="{FF2B5EF4-FFF2-40B4-BE49-F238E27FC236}">
              <a16:creationId xmlns:a16="http://schemas.microsoft.com/office/drawing/2014/main" id="{DAF066F7-8A51-4983-BD4D-6BB0B05FF2BE}"/>
            </a:ext>
          </a:extLst>
        </xdr:cNvPr>
        <xdr:cNvGrpSpPr/>
      </xdr:nvGrpSpPr>
      <xdr:grpSpPr>
        <a:xfrm>
          <a:off x="1509432" y="42613730"/>
          <a:ext cx="1904577" cy="1924563"/>
          <a:chOff x="1580030" y="228263824"/>
          <a:chExt cx="1904577" cy="1924563"/>
        </a:xfrm>
      </xdr:grpSpPr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DF203423-A9C9-EE0C-BF71-D873B5EFF8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80030" y="228263824"/>
            <a:ext cx="850106" cy="1920240"/>
          </a:xfrm>
          <a:prstGeom prst="rect">
            <a:avLst/>
          </a:prstGeom>
        </xdr:spPr>
      </xdr:pic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BD7EF261-AD8C-1948-246F-F2AA3A76A3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26500" y="228268147"/>
            <a:ext cx="858107" cy="192024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392205</xdr:colOff>
      <xdr:row>23</xdr:row>
      <xdr:rowOff>11206</xdr:rowOff>
    </xdr:from>
    <xdr:to>
      <xdr:col>1</xdr:col>
      <xdr:colOff>2572805</xdr:colOff>
      <xdr:row>23</xdr:row>
      <xdr:rowOff>2174679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7BC8B3E0-2144-455C-B9DD-0C9D8C6228CE}"/>
            </a:ext>
          </a:extLst>
        </xdr:cNvPr>
        <xdr:cNvGrpSpPr/>
      </xdr:nvGrpSpPr>
      <xdr:grpSpPr>
        <a:xfrm>
          <a:off x="1554255" y="44626306"/>
          <a:ext cx="2180600" cy="2163473"/>
          <a:chOff x="1378324" y="230314500"/>
          <a:chExt cx="2180600" cy="2163473"/>
        </a:xfrm>
      </xdr:grpSpPr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5F5AA8D5-2C97-1A6B-6709-06564AF14E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78324" y="230314500"/>
            <a:ext cx="1062514" cy="2103120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51308220-1CBA-E34A-695B-ED851DB36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92029" y="230374853"/>
            <a:ext cx="1066895" cy="210312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280147</xdr:colOff>
      <xdr:row>24</xdr:row>
      <xdr:rowOff>78441</xdr:rowOff>
    </xdr:from>
    <xdr:to>
      <xdr:col>1</xdr:col>
      <xdr:colOff>2561600</xdr:colOff>
      <xdr:row>24</xdr:row>
      <xdr:rowOff>2188443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D7EA9D9C-7EF7-4A28-A058-D0C6B80F9A4D}"/>
            </a:ext>
          </a:extLst>
        </xdr:cNvPr>
        <xdr:cNvGrpSpPr/>
      </xdr:nvGrpSpPr>
      <xdr:grpSpPr>
        <a:xfrm>
          <a:off x="1442197" y="47027166"/>
          <a:ext cx="2281453" cy="2110002"/>
          <a:chOff x="1344707" y="232716883"/>
          <a:chExt cx="2281453" cy="2110002"/>
        </a:xfrm>
      </xdr:grpSpPr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2F81144C-263D-603F-C02B-CF5904E895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44707" y="232723765"/>
            <a:ext cx="1062514" cy="2103120"/>
          </a:xfrm>
          <a:prstGeom prst="rect">
            <a:avLst/>
          </a:prstGeom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6EC599-27E9-C43E-403B-4046943881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9265" y="232716883"/>
            <a:ext cx="1066895" cy="210312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235323</xdr:colOff>
      <xdr:row>25</xdr:row>
      <xdr:rowOff>89647</xdr:rowOff>
    </xdr:from>
    <xdr:to>
      <xdr:col>1</xdr:col>
      <xdr:colOff>2613663</xdr:colOff>
      <xdr:row>25</xdr:row>
      <xdr:rowOff>2059592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id="{170DD1C6-6C1F-4C97-8192-9AAFC8B32D32}"/>
            </a:ext>
          </a:extLst>
        </xdr:cNvPr>
        <xdr:cNvGrpSpPr/>
      </xdr:nvGrpSpPr>
      <xdr:grpSpPr>
        <a:xfrm>
          <a:off x="1397373" y="49371997"/>
          <a:ext cx="2378340" cy="1969945"/>
          <a:chOff x="1333501" y="236874265"/>
          <a:chExt cx="2378340" cy="1969945"/>
        </a:xfrm>
      </xdr:grpSpPr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7C30EC0B-7CC9-74C6-5AF8-F27028D1F6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33501" y="236925970"/>
            <a:ext cx="1146143" cy="1918240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796AA123-0278-41C8-0F99-48F1B402A5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37707" y="236874265"/>
            <a:ext cx="1074134" cy="192024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246530</xdr:colOff>
      <xdr:row>26</xdr:row>
      <xdr:rowOff>100853</xdr:rowOff>
    </xdr:from>
    <xdr:to>
      <xdr:col>1</xdr:col>
      <xdr:colOff>2532018</xdr:colOff>
      <xdr:row>26</xdr:row>
      <xdr:rowOff>2059592</xdr:rowOff>
    </xdr:to>
    <xdr:grpSp>
      <xdr:nvGrpSpPr>
        <xdr:cNvPr id="37" name="Группа 36">
          <a:extLst>
            <a:ext uri="{FF2B5EF4-FFF2-40B4-BE49-F238E27FC236}">
              <a16:creationId xmlns:a16="http://schemas.microsoft.com/office/drawing/2014/main" id="{7C1234F6-A352-48E4-B681-245B5DDC4D16}"/>
            </a:ext>
          </a:extLst>
        </xdr:cNvPr>
        <xdr:cNvGrpSpPr/>
      </xdr:nvGrpSpPr>
      <xdr:grpSpPr>
        <a:xfrm>
          <a:off x="1408580" y="51478703"/>
          <a:ext cx="2285488" cy="1958739"/>
          <a:chOff x="1311088" y="236885471"/>
          <a:chExt cx="2285488" cy="1958739"/>
        </a:xfrm>
      </xdr:grpSpPr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D9B6AB-5776-65B1-84B0-3B521F9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11088" y="236925970"/>
            <a:ext cx="1146143" cy="1918240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C4EA1186-7781-E966-3C38-4E390B38EB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14441" y="236885471"/>
            <a:ext cx="1082135" cy="192024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235323</xdr:colOff>
      <xdr:row>27</xdr:row>
      <xdr:rowOff>33618</xdr:rowOff>
    </xdr:from>
    <xdr:to>
      <xdr:col>1</xdr:col>
      <xdr:colOff>2601593</xdr:colOff>
      <xdr:row>27</xdr:row>
      <xdr:rowOff>1956182</xdr:rowOff>
    </xdr:to>
    <xdr:grpSp>
      <xdr:nvGrpSpPr>
        <xdr:cNvPr id="40" name="Группа 39">
          <a:extLst>
            <a:ext uri="{FF2B5EF4-FFF2-40B4-BE49-F238E27FC236}">
              <a16:creationId xmlns:a16="http://schemas.microsoft.com/office/drawing/2014/main" id="{38FBC81A-16C0-4965-96DD-0249D9054798}"/>
            </a:ext>
          </a:extLst>
        </xdr:cNvPr>
        <xdr:cNvGrpSpPr/>
      </xdr:nvGrpSpPr>
      <xdr:grpSpPr>
        <a:xfrm>
          <a:off x="1397373" y="53659368"/>
          <a:ext cx="2366270" cy="1922564"/>
          <a:chOff x="1355913" y="241173000"/>
          <a:chExt cx="2366270" cy="1922564"/>
        </a:xfrm>
      </xdr:grpSpPr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FA576187-28EB-5E95-8C9C-439F83BF34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55913" y="241173000"/>
            <a:ext cx="1224153" cy="1918240"/>
          </a:xfrm>
          <a:prstGeom prst="rect">
            <a:avLst/>
          </a:prstGeom>
        </xdr:spPr>
      </xdr:pic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id="{C10DE365-C4B9-5535-2BA2-4B63E3F0A5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92029" y="241177324"/>
            <a:ext cx="1230154" cy="191824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145677</xdr:colOff>
      <xdr:row>28</xdr:row>
      <xdr:rowOff>22411</xdr:rowOff>
    </xdr:from>
    <xdr:to>
      <xdr:col>1</xdr:col>
      <xdr:colOff>2556771</xdr:colOff>
      <xdr:row>28</xdr:row>
      <xdr:rowOff>1947533</xdr:rowOff>
    </xdr:to>
    <xdr:grpSp>
      <xdr:nvGrpSpPr>
        <xdr:cNvPr id="43" name="Группа 42">
          <a:extLst>
            <a:ext uri="{FF2B5EF4-FFF2-40B4-BE49-F238E27FC236}">
              <a16:creationId xmlns:a16="http://schemas.microsoft.com/office/drawing/2014/main" id="{36407394-8BBD-417C-ABF5-BD8556243A38}"/>
            </a:ext>
          </a:extLst>
        </xdr:cNvPr>
        <xdr:cNvGrpSpPr/>
      </xdr:nvGrpSpPr>
      <xdr:grpSpPr>
        <a:xfrm>
          <a:off x="1307727" y="55610311"/>
          <a:ext cx="2411094" cy="1925122"/>
          <a:chOff x="1344707" y="243138353"/>
          <a:chExt cx="2411094" cy="1925122"/>
        </a:xfrm>
      </xdr:grpSpPr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F00D2923-7C10-145B-EEBB-89E68B700A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44707" y="243145235"/>
            <a:ext cx="1224153" cy="1918240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E9C0D10E-1805-0707-778C-0496FD3DCE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25647" y="243138353"/>
            <a:ext cx="1230154" cy="191824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100853</xdr:colOff>
      <xdr:row>29</xdr:row>
      <xdr:rowOff>44823</xdr:rowOff>
    </xdr:from>
    <xdr:to>
      <xdr:col>1</xdr:col>
      <xdr:colOff>2558920</xdr:colOff>
      <xdr:row>29</xdr:row>
      <xdr:rowOff>1692088</xdr:rowOff>
    </xdr:to>
    <xdr:grpSp>
      <xdr:nvGrpSpPr>
        <xdr:cNvPr id="46" name="Группа 45">
          <a:extLst>
            <a:ext uri="{FF2B5EF4-FFF2-40B4-BE49-F238E27FC236}">
              <a16:creationId xmlns:a16="http://schemas.microsoft.com/office/drawing/2014/main" id="{0A208837-2AD8-4283-8934-8C33B5B9009B}"/>
            </a:ext>
          </a:extLst>
        </xdr:cNvPr>
        <xdr:cNvGrpSpPr/>
      </xdr:nvGrpSpPr>
      <xdr:grpSpPr>
        <a:xfrm>
          <a:off x="1262903" y="57585348"/>
          <a:ext cx="2458067" cy="1647265"/>
          <a:chOff x="1288676" y="245117471"/>
          <a:chExt cx="2458067" cy="1695067"/>
        </a:xfrm>
      </xdr:grpSpPr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5A765117-F685-BC68-A9F2-7228CE284B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88676" y="245117471"/>
            <a:ext cx="1256729" cy="1644206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A06F945E-2C49-0581-7B0B-D341227978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92884" y="245166618"/>
            <a:ext cx="1153859" cy="164592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168089</xdr:colOff>
      <xdr:row>30</xdr:row>
      <xdr:rowOff>22412</xdr:rowOff>
    </xdr:from>
    <xdr:to>
      <xdr:col>1</xdr:col>
      <xdr:colOff>2592537</xdr:colOff>
      <xdr:row>30</xdr:row>
      <xdr:rowOff>1716140</xdr:rowOff>
    </xdr:to>
    <xdr:grpSp>
      <xdr:nvGrpSpPr>
        <xdr:cNvPr id="49" name="Группа 48">
          <a:extLst>
            <a:ext uri="{FF2B5EF4-FFF2-40B4-BE49-F238E27FC236}">
              <a16:creationId xmlns:a16="http://schemas.microsoft.com/office/drawing/2014/main" id="{1FE65BCC-1222-433D-B9E0-CAC2558ADA0E}"/>
            </a:ext>
          </a:extLst>
        </xdr:cNvPr>
        <xdr:cNvGrpSpPr/>
      </xdr:nvGrpSpPr>
      <xdr:grpSpPr>
        <a:xfrm>
          <a:off x="1330139" y="59372687"/>
          <a:ext cx="2424448" cy="1693728"/>
          <a:chOff x="1277472" y="245110588"/>
          <a:chExt cx="2424448" cy="1693728"/>
        </a:xfrm>
      </xdr:grpSpPr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1A642C22-6CCB-622C-97B3-0E6EDAA703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7472" y="245162296"/>
            <a:ext cx="1255058" cy="1642020"/>
          </a:xfrm>
          <a:prstGeom prst="rect">
            <a:avLst/>
          </a:prstGeom>
        </xdr:spPr>
      </xdr:pic>
      <xdr:pic>
        <xdr:nvPicPr>
          <xdr:cNvPr id="51" name="Рисунок 50">
            <a:extLst>
              <a:ext uri="{FF2B5EF4-FFF2-40B4-BE49-F238E27FC236}">
                <a16:creationId xmlns:a16="http://schemas.microsoft.com/office/drawing/2014/main" id="{6607D513-55C2-7E37-EEBC-CF82DF83A6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48061" y="245110588"/>
            <a:ext cx="1153859" cy="164592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246529</xdr:colOff>
      <xdr:row>31</xdr:row>
      <xdr:rowOff>33618</xdr:rowOff>
    </xdr:from>
    <xdr:to>
      <xdr:col>1</xdr:col>
      <xdr:colOff>2622847</xdr:colOff>
      <xdr:row>31</xdr:row>
      <xdr:rowOff>1693353</xdr:rowOff>
    </xdr:to>
    <xdr:grpSp>
      <xdr:nvGrpSpPr>
        <xdr:cNvPr id="52" name="Группа 51">
          <a:extLst>
            <a:ext uri="{FF2B5EF4-FFF2-40B4-BE49-F238E27FC236}">
              <a16:creationId xmlns:a16="http://schemas.microsoft.com/office/drawing/2014/main" id="{BB0BF2CE-55A0-4D25-9896-9962D809F9A1}"/>
            </a:ext>
          </a:extLst>
        </xdr:cNvPr>
        <xdr:cNvGrpSpPr/>
      </xdr:nvGrpSpPr>
      <xdr:grpSpPr>
        <a:xfrm>
          <a:off x="1408579" y="61155543"/>
          <a:ext cx="2376318" cy="1659735"/>
          <a:chOff x="1311089" y="248680942"/>
          <a:chExt cx="2376318" cy="1659735"/>
        </a:xfrm>
      </xdr:grpSpPr>
      <xdr:pic>
        <xdr:nvPicPr>
          <xdr:cNvPr id="53" name="Рисунок 52">
            <a:extLst>
              <a:ext uri="{FF2B5EF4-FFF2-40B4-BE49-F238E27FC236}">
                <a16:creationId xmlns:a16="http://schemas.microsoft.com/office/drawing/2014/main" id="{0F0FFFA8-D0BF-1309-FE5D-D5D292EF84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11089" y="248680942"/>
            <a:ext cx="1279017" cy="1645920"/>
          </a:xfrm>
          <a:prstGeom prst="rect">
            <a:avLst/>
          </a:prstGeom>
        </xdr:spPr>
      </xdr:pic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7CA19AB5-BBF2-FBF3-64AC-6A79D0F771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9266" y="248696471"/>
            <a:ext cx="1128141" cy="164420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89647</xdr:colOff>
      <xdr:row>32</xdr:row>
      <xdr:rowOff>112059</xdr:rowOff>
    </xdr:from>
    <xdr:to>
      <xdr:col>1</xdr:col>
      <xdr:colOff>2633189</xdr:colOff>
      <xdr:row>32</xdr:row>
      <xdr:rowOff>1764862</xdr:rowOff>
    </xdr:to>
    <xdr:grpSp>
      <xdr:nvGrpSpPr>
        <xdr:cNvPr id="55" name="Группа 54">
          <a:extLst>
            <a:ext uri="{FF2B5EF4-FFF2-40B4-BE49-F238E27FC236}">
              <a16:creationId xmlns:a16="http://schemas.microsoft.com/office/drawing/2014/main" id="{B8CC4FB4-CD94-4788-84EA-FF548405FAD7}"/>
            </a:ext>
          </a:extLst>
        </xdr:cNvPr>
        <xdr:cNvGrpSpPr/>
      </xdr:nvGrpSpPr>
      <xdr:grpSpPr>
        <a:xfrm>
          <a:off x="1251697" y="63005634"/>
          <a:ext cx="2543542" cy="1652803"/>
          <a:chOff x="1266266" y="250444588"/>
          <a:chExt cx="2543542" cy="1652803"/>
        </a:xfrm>
      </xdr:grpSpPr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9CCFD50A-8C52-DDC4-05D8-A19C697E46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66266" y="250451471"/>
            <a:ext cx="1279017" cy="1645920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2F600342-7720-0DC1-C944-E0E91D0DA6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25647" y="250444588"/>
            <a:ext cx="1284161" cy="164592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302559</xdr:colOff>
      <xdr:row>33</xdr:row>
      <xdr:rowOff>56030</xdr:rowOff>
    </xdr:from>
    <xdr:to>
      <xdr:col>1</xdr:col>
      <xdr:colOff>2565087</xdr:colOff>
      <xdr:row>33</xdr:row>
      <xdr:rowOff>1715766</xdr:rowOff>
    </xdr:to>
    <xdr:grpSp>
      <xdr:nvGrpSpPr>
        <xdr:cNvPr id="58" name="Группа 57">
          <a:extLst>
            <a:ext uri="{FF2B5EF4-FFF2-40B4-BE49-F238E27FC236}">
              <a16:creationId xmlns:a16="http://schemas.microsoft.com/office/drawing/2014/main" id="{1246A6C3-8209-4854-A893-6458DA86524C}"/>
            </a:ext>
          </a:extLst>
        </xdr:cNvPr>
        <xdr:cNvGrpSpPr/>
      </xdr:nvGrpSpPr>
      <xdr:grpSpPr>
        <a:xfrm>
          <a:off x="1464609" y="64721255"/>
          <a:ext cx="2262528" cy="1659736"/>
          <a:chOff x="1304205" y="252266823"/>
          <a:chExt cx="2262528" cy="1659736"/>
        </a:xfrm>
      </xdr:grpSpPr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C9E9705E-703F-5DAF-1606-F312FF9069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86001" y="252266823"/>
            <a:ext cx="1280732" cy="1637348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4D410381-E967-7A14-0D32-D62220EDB9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4205" y="252282353"/>
            <a:ext cx="1294448" cy="164420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156882</xdr:colOff>
      <xdr:row>34</xdr:row>
      <xdr:rowOff>168089</xdr:rowOff>
    </xdr:from>
    <xdr:to>
      <xdr:col>1</xdr:col>
      <xdr:colOff>2553877</xdr:colOff>
      <xdr:row>34</xdr:row>
      <xdr:rowOff>1827825</xdr:rowOff>
    </xdr:to>
    <xdr:grpSp>
      <xdr:nvGrpSpPr>
        <xdr:cNvPr id="61" name="Группа 60">
          <a:extLst>
            <a:ext uri="{FF2B5EF4-FFF2-40B4-BE49-F238E27FC236}">
              <a16:creationId xmlns:a16="http://schemas.microsoft.com/office/drawing/2014/main" id="{8B5E58B1-77A6-4D13-8B74-0A09F5704A0B}"/>
            </a:ext>
          </a:extLst>
        </xdr:cNvPr>
        <xdr:cNvGrpSpPr/>
      </xdr:nvGrpSpPr>
      <xdr:grpSpPr>
        <a:xfrm>
          <a:off x="1318932" y="66776414"/>
          <a:ext cx="2396995" cy="1659736"/>
          <a:chOff x="1304207" y="254250265"/>
          <a:chExt cx="2396995" cy="1659736"/>
        </a:xfrm>
      </xdr:grpSpPr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B88C91ED-7BB4-48C2-72A8-72223431D4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20470" y="254250265"/>
            <a:ext cx="1280732" cy="1637348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id="{B872DE98-DC52-FE94-F866-B4DB4E740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4207" y="254265795"/>
            <a:ext cx="1294448" cy="164420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123264</xdr:colOff>
      <xdr:row>35</xdr:row>
      <xdr:rowOff>56029</xdr:rowOff>
    </xdr:from>
    <xdr:to>
      <xdr:col>1</xdr:col>
      <xdr:colOff>2611622</xdr:colOff>
      <xdr:row>35</xdr:row>
      <xdr:rowOff>1729529</xdr:rowOff>
    </xdr:to>
    <xdr:grpSp>
      <xdr:nvGrpSpPr>
        <xdr:cNvPr id="64" name="Группа 63">
          <a:extLst>
            <a:ext uri="{FF2B5EF4-FFF2-40B4-BE49-F238E27FC236}">
              <a16:creationId xmlns:a16="http://schemas.microsoft.com/office/drawing/2014/main" id="{57032197-11CA-4942-9EB0-F93AFFC9AFDE}"/>
            </a:ext>
          </a:extLst>
        </xdr:cNvPr>
        <xdr:cNvGrpSpPr/>
      </xdr:nvGrpSpPr>
      <xdr:grpSpPr>
        <a:xfrm>
          <a:off x="1285314" y="68607454"/>
          <a:ext cx="2488358" cy="1673500"/>
          <a:chOff x="1270589" y="256182002"/>
          <a:chExt cx="2488358" cy="1673500"/>
        </a:xfrm>
      </xdr:grpSpPr>
      <xdr:pic>
        <xdr:nvPicPr>
          <xdr:cNvPr id="65" name="Рисунок 64">
            <a:extLst>
              <a:ext uri="{FF2B5EF4-FFF2-40B4-BE49-F238E27FC236}">
                <a16:creationId xmlns:a16="http://schemas.microsoft.com/office/drawing/2014/main" id="{CAB4D4C5-128D-029A-4F27-68F66DE381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76501" y="256211296"/>
            <a:ext cx="1282446" cy="1644206"/>
          </a:xfrm>
          <a:prstGeom prst="rect">
            <a:avLst/>
          </a:prstGeom>
        </xdr:spPr>
      </xdr:pic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3404CB76-8A7D-B7D0-3E59-E080EF932C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589" y="256182002"/>
            <a:ext cx="1287590" cy="164420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246529</xdr:colOff>
      <xdr:row>36</xdr:row>
      <xdr:rowOff>112059</xdr:rowOff>
    </xdr:from>
    <xdr:to>
      <xdr:col>1</xdr:col>
      <xdr:colOff>2548710</xdr:colOff>
      <xdr:row>37</xdr:row>
      <xdr:rowOff>19354</xdr:rowOff>
    </xdr:to>
    <xdr:grpSp>
      <xdr:nvGrpSpPr>
        <xdr:cNvPr id="67" name="Группа 66">
          <a:extLst>
            <a:ext uri="{FF2B5EF4-FFF2-40B4-BE49-F238E27FC236}">
              <a16:creationId xmlns:a16="http://schemas.microsoft.com/office/drawing/2014/main" id="{B8DBD4B0-B8BC-40AC-8090-57F72EF0CBE6}"/>
            </a:ext>
          </a:extLst>
        </xdr:cNvPr>
        <xdr:cNvGrpSpPr/>
      </xdr:nvGrpSpPr>
      <xdr:grpSpPr>
        <a:xfrm>
          <a:off x="1408579" y="70435134"/>
          <a:ext cx="2302181" cy="1678945"/>
          <a:chOff x="1255060" y="257813735"/>
          <a:chExt cx="2302181" cy="1677824"/>
        </a:xfrm>
      </xdr:grpSpPr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0D06F5EB-BA5B-B1A0-356A-F82DBD912D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74795" y="257847353"/>
            <a:ext cx="1282446" cy="1644206"/>
          </a:xfrm>
          <a:prstGeom prst="rect">
            <a:avLst/>
          </a:prstGeom>
        </xdr:spPr>
      </xdr:pic>
      <xdr:pic>
        <xdr:nvPicPr>
          <xdr:cNvPr id="69" name="Рисунок 68">
            <a:extLst>
              <a:ext uri="{FF2B5EF4-FFF2-40B4-BE49-F238E27FC236}">
                <a16:creationId xmlns:a16="http://schemas.microsoft.com/office/drawing/2014/main" id="{379BCF0F-7BD1-EB36-A32B-5EF9EA9624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55060" y="257813735"/>
            <a:ext cx="1292733" cy="164420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268941</xdr:colOff>
      <xdr:row>37</xdr:row>
      <xdr:rowOff>100853</xdr:rowOff>
    </xdr:from>
    <xdr:to>
      <xdr:col>1</xdr:col>
      <xdr:colOff>2442881</xdr:colOff>
      <xdr:row>37</xdr:row>
      <xdr:rowOff>1691096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CF08E361-3902-4B10-BACE-F1FFBAAED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0991" y="72319403"/>
          <a:ext cx="2173940" cy="1590243"/>
        </a:xfrm>
        <a:prstGeom prst="rect">
          <a:avLst/>
        </a:prstGeom>
      </xdr:spPr>
    </xdr:pic>
    <xdr:clientData/>
  </xdr:twoCellAnchor>
  <xdr:twoCellAnchor editAs="oneCell">
    <xdr:from>
      <xdr:col>1</xdr:col>
      <xdr:colOff>537883</xdr:colOff>
      <xdr:row>38</xdr:row>
      <xdr:rowOff>145677</xdr:rowOff>
    </xdr:from>
    <xdr:to>
      <xdr:col>1</xdr:col>
      <xdr:colOff>2185147</xdr:colOff>
      <xdr:row>38</xdr:row>
      <xdr:rowOff>1670627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95878094-B448-4295-B946-DFFB92DD2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933" y="74135877"/>
          <a:ext cx="1647264" cy="1524950"/>
        </a:xfrm>
        <a:prstGeom prst="rect">
          <a:avLst/>
        </a:prstGeom>
      </xdr:spPr>
    </xdr:pic>
    <xdr:clientData/>
  </xdr:twoCellAnchor>
  <xdr:twoCellAnchor editAs="oneCell">
    <xdr:from>
      <xdr:col>1</xdr:col>
      <xdr:colOff>515471</xdr:colOff>
      <xdr:row>39</xdr:row>
      <xdr:rowOff>134471</xdr:rowOff>
    </xdr:from>
    <xdr:to>
      <xdr:col>1</xdr:col>
      <xdr:colOff>2218765</xdr:colOff>
      <xdr:row>39</xdr:row>
      <xdr:rowOff>1896563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EE0FA72-0842-4567-994C-202EF2650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7521" y="75896321"/>
          <a:ext cx="1703294" cy="1762092"/>
        </a:xfrm>
        <a:prstGeom prst="rect">
          <a:avLst/>
        </a:prstGeom>
      </xdr:spPr>
    </xdr:pic>
    <xdr:clientData/>
  </xdr:twoCellAnchor>
  <xdr:twoCellAnchor editAs="oneCell">
    <xdr:from>
      <xdr:col>1</xdr:col>
      <xdr:colOff>941294</xdr:colOff>
      <xdr:row>40</xdr:row>
      <xdr:rowOff>123264</xdr:rowOff>
    </xdr:from>
    <xdr:to>
      <xdr:col>1</xdr:col>
      <xdr:colOff>1927412</xdr:colOff>
      <xdr:row>40</xdr:row>
      <xdr:rowOff>1681966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657F46EF-1B4B-4C65-B646-7D5B8DCE8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3344" y="78037764"/>
          <a:ext cx="986118" cy="1558702"/>
        </a:xfrm>
        <a:prstGeom prst="rect">
          <a:avLst/>
        </a:prstGeom>
      </xdr:spPr>
    </xdr:pic>
    <xdr:clientData/>
  </xdr:twoCellAnchor>
  <xdr:twoCellAnchor editAs="oneCell">
    <xdr:from>
      <xdr:col>1</xdr:col>
      <xdr:colOff>918883</xdr:colOff>
      <xdr:row>42</xdr:row>
      <xdr:rowOff>78441</xdr:rowOff>
    </xdr:from>
    <xdr:to>
      <xdr:col>1</xdr:col>
      <xdr:colOff>1758988</xdr:colOff>
      <xdr:row>42</xdr:row>
      <xdr:rowOff>1584344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6F151CE6-150C-4E91-9933-9210CFC1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933" y="81536241"/>
          <a:ext cx="840105" cy="1505903"/>
        </a:xfrm>
        <a:prstGeom prst="rect">
          <a:avLst/>
        </a:prstGeom>
      </xdr:spPr>
    </xdr:pic>
    <xdr:clientData/>
  </xdr:twoCellAnchor>
  <xdr:twoCellAnchor editAs="oneCell">
    <xdr:from>
      <xdr:col>1</xdr:col>
      <xdr:colOff>963706</xdr:colOff>
      <xdr:row>44</xdr:row>
      <xdr:rowOff>67235</xdr:rowOff>
    </xdr:from>
    <xdr:to>
      <xdr:col>1</xdr:col>
      <xdr:colOff>1759323</xdr:colOff>
      <xdr:row>44</xdr:row>
      <xdr:rowOff>1828473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E6A678C8-A4C1-466E-9608-35E56B598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5756" y="85068335"/>
          <a:ext cx="795617" cy="176123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46</xdr:row>
      <xdr:rowOff>44823</xdr:rowOff>
    </xdr:from>
    <xdr:to>
      <xdr:col>1</xdr:col>
      <xdr:colOff>1959293</xdr:colOff>
      <xdr:row>46</xdr:row>
      <xdr:rowOff>1662168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515919E8-49FD-4D8A-B3EF-23470C594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89103573"/>
          <a:ext cx="1197293" cy="1617345"/>
        </a:xfrm>
        <a:prstGeom prst="rect">
          <a:avLst/>
        </a:prstGeom>
      </xdr:spPr>
    </xdr:pic>
    <xdr:clientData/>
  </xdr:twoCellAnchor>
  <xdr:twoCellAnchor editAs="oneCell">
    <xdr:from>
      <xdr:col>1</xdr:col>
      <xdr:colOff>806823</xdr:colOff>
      <xdr:row>48</xdr:row>
      <xdr:rowOff>123265</xdr:rowOff>
    </xdr:from>
    <xdr:to>
      <xdr:col>1</xdr:col>
      <xdr:colOff>1846953</xdr:colOff>
      <xdr:row>48</xdr:row>
      <xdr:rowOff>1729180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AB50FDE-BEF0-4E07-B1E9-A883A5733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873" y="92725315"/>
          <a:ext cx="1040130" cy="1605915"/>
        </a:xfrm>
        <a:prstGeom prst="rect">
          <a:avLst/>
        </a:prstGeom>
      </xdr:spPr>
    </xdr:pic>
    <xdr:clientData/>
  </xdr:twoCellAnchor>
  <xdr:twoCellAnchor editAs="oneCell">
    <xdr:from>
      <xdr:col>1</xdr:col>
      <xdr:colOff>907676</xdr:colOff>
      <xdr:row>50</xdr:row>
      <xdr:rowOff>89647</xdr:rowOff>
    </xdr:from>
    <xdr:to>
      <xdr:col>1</xdr:col>
      <xdr:colOff>1842667</xdr:colOff>
      <xdr:row>51</xdr:row>
      <xdr:rowOff>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A06AF7B6-9E7D-4AA2-9532-AF39FA13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9726" y="96234997"/>
          <a:ext cx="934991" cy="1682004"/>
        </a:xfrm>
        <a:prstGeom prst="rect">
          <a:avLst/>
        </a:prstGeom>
      </xdr:spPr>
    </xdr:pic>
    <xdr:clientData/>
  </xdr:twoCellAnchor>
  <xdr:twoCellAnchor editAs="oneCell">
    <xdr:from>
      <xdr:col>1</xdr:col>
      <xdr:colOff>661148</xdr:colOff>
      <xdr:row>52</xdr:row>
      <xdr:rowOff>44823</xdr:rowOff>
    </xdr:from>
    <xdr:to>
      <xdr:col>1</xdr:col>
      <xdr:colOff>1994647</xdr:colOff>
      <xdr:row>52</xdr:row>
      <xdr:rowOff>1670819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D9C6BC5-22C3-470C-BF40-B46DC3A1E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3198" y="99733473"/>
          <a:ext cx="1333499" cy="1625996"/>
        </a:xfrm>
        <a:prstGeom prst="rect">
          <a:avLst/>
        </a:prstGeom>
      </xdr:spPr>
    </xdr:pic>
    <xdr:clientData/>
  </xdr:twoCellAnchor>
  <xdr:twoCellAnchor editAs="oneCell">
    <xdr:from>
      <xdr:col>1</xdr:col>
      <xdr:colOff>739589</xdr:colOff>
      <xdr:row>54</xdr:row>
      <xdr:rowOff>134471</xdr:rowOff>
    </xdr:from>
    <xdr:to>
      <xdr:col>1</xdr:col>
      <xdr:colOff>1871383</xdr:colOff>
      <xdr:row>54</xdr:row>
      <xdr:rowOff>1699718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34600122-B6BC-4C40-B5F9-8D3F2D9D9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639" y="103366421"/>
          <a:ext cx="1131794" cy="1565247"/>
        </a:xfrm>
        <a:prstGeom prst="rect">
          <a:avLst/>
        </a:prstGeom>
      </xdr:spPr>
    </xdr:pic>
    <xdr:clientData/>
  </xdr:twoCellAnchor>
  <xdr:twoCellAnchor editAs="oneCell">
    <xdr:from>
      <xdr:col>1</xdr:col>
      <xdr:colOff>818029</xdr:colOff>
      <xdr:row>56</xdr:row>
      <xdr:rowOff>67235</xdr:rowOff>
    </xdr:from>
    <xdr:to>
      <xdr:col>1</xdr:col>
      <xdr:colOff>1837765</xdr:colOff>
      <xdr:row>56</xdr:row>
      <xdr:rowOff>1699435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A751CFC-2A22-4C02-A767-445082A7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079" y="106842485"/>
          <a:ext cx="1019736" cy="1632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0</xdr:colOff>
      <xdr:row>10</xdr:row>
      <xdr:rowOff>0</xdr:rowOff>
    </xdr:to>
    <xdr:pic>
      <xdr:nvPicPr>
        <xdr:cNvPr id="82" name="Рисунок 81" descr="Кабинка детская 5-ти секционная.jpg">
          <a:extLst>
            <a:ext uri="{FF2B5EF4-FFF2-40B4-BE49-F238E27FC236}">
              <a16:creationId xmlns:a16="http://schemas.microsoft.com/office/drawing/2014/main" id="{8F1AEF53-D70D-4E4C-8E52-E328DF9DD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62050" y="17249775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818031</xdr:colOff>
      <xdr:row>5</xdr:row>
      <xdr:rowOff>56029</xdr:rowOff>
    </xdr:from>
    <xdr:to>
      <xdr:col>1</xdr:col>
      <xdr:colOff>1703295</xdr:colOff>
      <xdr:row>5</xdr:row>
      <xdr:rowOff>1983134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F4DDFFE5-B04D-47A4-A421-B4844573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081" y="6875929"/>
          <a:ext cx="885264" cy="192710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672353</xdr:colOff>
      <xdr:row>7</xdr:row>
      <xdr:rowOff>44824</xdr:rowOff>
    </xdr:from>
    <xdr:to>
      <xdr:col>1</xdr:col>
      <xdr:colOff>1972235</xdr:colOff>
      <xdr:row>7</xdr:row>
      <xdr:rowOff>1959704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3757C70-008B-4B9F-A552-B8E929E7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4403" y="11036674"/>
          <a:ext cx="1299882" cy="1914880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481853</xdr:colOff>
      <xdr:row>9</xdr:row>
      <xdr:rowOff>33617</xdr:rowOff>
    </xdr:from>
    <xdr:to>
      <xdr:col>1</xdr:col>
      <xdr:colOff>1994647</xdr:colOff>
      <xdr:row>9</xdr:row>
      <xdr:rowOff>2007453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F66F96B1-8421-47D2-9E2F-C7DC16111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3903" y="15197417"/>
          <a:ext cx="1512794" cy="197383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</xdr:row>
      <xdr:rowOff>145677</xdr:rowOff>
    </xdr:from>
    <xdr:to>
      <xdr:col>1</xdr:col>
      <xdr:colOff>1557617</xdr:colOff>
      <xdr:row>4</xdr:row>
      <xdr:rowOff>1868018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C9571B5-42A4-4827-BCB7-195E1AF26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4879602"/>
          <a:ext cx="795617" cy="1722341"/>
        </a:xfrm>
        <a:prstGeom prst="rect">
          <a:avLst/>
        </a:prstGeom>
      </xdr:spPr>
    </xdr:pic>
    <xdr:clientData/>
  </xdr:twoCellAnchor>
  <xdr:twoCellAnchor editAs="oneCell">
    <xdr:from>
      <xdr:col>1</xdr:col>
      <xdr:colOff>705970</xdr:colOff>
      <xdr:row>6</xdr:row>
      <xdr:rowOff>67235</xdr:rowOff>
    </xdr:from>
    <xdr:to>
      <xdr:col>1</xdr:col>
      <xdr:colOff>1876804</xdr:colOff>
      <xdr:row>6</xdr:row>
      <xdr:rowOff>1938617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12F284B9-D53A-4D6A-AED8-3E0DD44F6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020" y="8973110"/>
          <a:ext cx="1170834" cy="187138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8</xdr:row>
      <xdr:rowOff>89647</xdr:rowOff>
    </xdr:from>
    <xdr:to>
      <xdr:col>1</xdr:col>
      <xdr:colOff>1972236</xdr:colOff>
      <xdr:row>8</xdr:row>
      <xdr:rowOff>1984295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E2C85AEF-2D0C-4BDF-8FDE-43D3B980C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550" y="13167472"/>
          <a:ext cx="1400736" cy="1894648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526677</xdr:colOff>
      <xdr:row>10</xdr:row>
      <xdr:rowOff>112059</xdr:rowOff>
    </xdr:from>
    <xdr:to>
      <xdr:col>1</xdr:col>
      <xdr:colOff>2050676</xdr:colOff>
      <xdr:row>10</xdr:row>
      <xdr:rowOff>1962077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90C724F9-C6AA-4FE9-AB97-8DA2321E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727" y="17361834"/>
          <a:ext cx="1523999" cy="1850018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448236</xdr:colOff>
      <xdr:row>18</xdr:row>
      <xdr:rowOff>78442</xdr:rowOff>
    </xdr:from>
    <xdr:to>
      <xdr:col>1</xdr:col>
      <xdr:colOff>1983441</xdr:colOff>
      <xdr:row>18</xdr:row>
      <xdr:rowOff>1975480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35E1128E-1BF6-44B5-A45F-5984B286D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0286" y="34016017"/>
          <a:ext cx="1535205" cy="1897038"/>
        </a:xfrm>
        <a:prstGeom prst="rect">
          <a:avLst/>
        </a:prstGeom>
      </xdr:spPr>
    </xdr:pic>
    <xdr:clientData/>
  </xdr:twoCellAnchor>
  <xdr:twoCellAnchor editAs="oneCell">
    <xdr:from>
      <xdr:col>1</xdr:col>
      <xdr:colOff>575824</xdr:colOff>
      <xdr:row>17</xdr:row>
      <xdr:rowOff>138794</xdr:rowOff>
    </xdr:from>
    <xdr:to>
      <xdr:col>1</xdr:col>
      <xdr:colOff>1893794</xdr:colOff>
      <xdr:row>17</xdr:row>
      <xdr:rowOff>2014115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8EF9F077-E545-41F2-9A3A-06D73A1FF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874" y="31990394"/>
          <a:ext cx="1317970" cy="1875321"/>
        </a:xfrm>
        <a:prstGeom prst="rect">
          <a:avLst/>
        </a:prstGeom>
      </xdr:spPr>
    </xdr:pic>
    <xdr:clientData/>
  </xdr:twoCellAnchor>
  <xdr:twoCellAnchor editAs="oneCell">
    <xdr:from>
      <xdr:col>1</xdr:col>
      <xdr:colOff>602559</xdr:colOff>
      <xdr:row>16</xdr:row>
      <xdr:rowOff>120707</xdr:rowOff>
    </xdr:from>
    <xdr:to>
      <xdr:col>1</xdr:col>
      <xdr:colOff>1581052</xdr:colOff>
      <xdr:row>16</xdr:row>
      <xdr:rowOff>1938619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BE4CBD98-CF7A-4768-85C6-F5278662C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609" y="29886332"/>
          <a:ext cx="978493" cy="1817912"/>
        </a:xfrm>
        <a:prstGeom prst="rect">
          <a:avLst/>
        </a:prstGeom>
      </xdr:spPr>
    </xdr:pic>
    <xdr:clientData/>
  </xdr:twoCellAnchor>
  <xdr:twoCellAnchor editAs="oneCell">
    <xdr:from>
      <xdr:col>1</xdr:col>
      <xdr:colOff>718941</xdr:colOff>
      <xdr:row>15</xdr:row>
      <xdr:rowOff>69000</xdr:rowOff>
    </xdr:from>
    <xdr:to>
      <xdr:col>1</xdr:col>
      <xdr:colOff>1585858</xdr:colOff>
      <xdr:row>15</xdr:row>
      <xdr:rowOff>1983441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2FA0FB-D80F-434B-9364-D3F69A100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991" y="27748650"/>
          <a:ext cx="866917" cy="1914441"/>
        </a:xfrm>
        <a:prstGeom prst="rect">
          <a:avLst/>
        </a:prstGeom>
      </xdr:spPr>
    </xdr:pic>
    <xdr:clientData/>
  </xdr:twoCellAnchor>
  <xdr:twoCellAnchor editAs="oneCell">
    <xdr:from>
      <xdr:col>1</xdr:col>
      <xdr:colOff>812912</xdr:colOff>
      <xdr:row>14</xdr:row>
      <xdr:rowOff>28501</xdr:rowOff>
    </xdr:from>
    <xdr:to>
      <xdr:col>1</xdr:col>
      <xdr:colOff>1467735</xdr:colOff>
      <xdr:row>14</xdr:row>
      <xdr:rowOff>1961029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945DF1BC-8954-4B17-A670-036E4934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4962" y="25622176"/>
          <a:ext cx="654823" cy="1932528"/>
        </a:xfrm>
        <a:prstGeom prst="rect">
          <a:avLst/>
        </a:prstGeom>
      </xdr:spPr>
    </xdr:pic>
    <xdr:clientData/>
  </xdr:twoCellAnchor>
  <xdr:twoCellAnchor editAs="oneCell">
    <xdr:from>
      <xdr:col>1</xdr:col>
      <xdr:colOff>895674</xdr:colOff>
      <xdr:row>13</xdr:row>
      <xdr:rowOff>100058</xdr:rowOff>
    </xdr:from>
    <xdr:to>
      <xdr:col>1</xdr:col>
      <xdr:colOff>1479175</xdr:colOff>
      <xdr:row>13</xdr:row>
      <xdr:rowOff>1983174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914FD20F-2D8B-4115-8370-779C301E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724" y="23607758"/>
          <a:ext cx="583501" cy="1883116"/>
        </a:xfrm>
        <a:prstGeom prst="rect">
          <a:avLst/>
        </a:prstGeom>
      </xdr:spPr>
    </xdr:pic>
    <xdr:clientData/>
  </xdr:twoCellAnchor>
  <xdr:twoCellAnchor editAs="oneCell">
    <xdr:from>
      <xdr:col>1</xdr:col>
      <xdr:colOff>888794</xdr:colOff>
      <xdr:row>12</xdr:row>
      <xdr:rowOff>126794</xdr:rowOff>
    </xdr:from>
    <xdr:to>
      <xdr:col>1</xdr:col>
      <xdr:colOff>1486885</xdr:colOff>
      <xdr:row>12</xdr:row>
      <xdr:rowOff>1916205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FEA0CD59-474E-454B-A0D4-7E9857C1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844" y="21548519"/>
          <a:ext cx="598091" cy="1789411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857251</xdr:colOff>
      <xdr:row>0</xdr:row>
      <xdr:rowOff>142876</xdr:rowOff>
    </xdr:from>
    <xdr:to>
      <xdr:col>10</xdr:col>
      <xdr:colOff>149247</xdr:colOff>
      <xdr:row>2</xdr:row>
      <xdr:rowOff>304405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9165E47-9092-40AA-A5B3-8B88E6383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258" r="1884"/>
        <a:stretch/>
      </xdr:blipFill>
      <xdr:spPr>
        <a:xfrm rot="20918134">
          <a:off x="9001126" y="142876"/>
          <a:ext cx="539771" cy="599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urnizab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5B4E1-56CF-445E-837F-723E786BE847}">
  <sheetPr>
    <tabColor theme="9" tint="0.59999389629810485"/>
  </sheetPr>
  <dimension ref="A1:D20"/>
  <sheetViews>
    <sheetView tabSelected="1" zoomScaleNormal="100" workbookViewId="0"/>
  </sheetViews>
  <sheetFormatPr defaultColWidth="9.140625" defaultRowHeight="12.75" x14ac:dyDescent="0.2"/>
  <cols>
    <col min="1" max="1" width="4.5703125" style="33" customWidth="1"/>
    <col min="2" max="2" width="28.85546875" style="33" customWidth="1"/>
    <col min="3" max="3" width="55.42578125" style="33" customWidth="1"/>
    <col min="4" max="16384" width="9.140625" style="33"/>
  </cols>
  <sheetData>
    <row r="1" spans="1:4" s="28" customFormat="1" ht="15" customHeight="1" x14ac:dyDescent="0.25">
      <c r="A1" s="26"/>
      <c r="B1" s="27"/>
      <c r="C1" s="223" t="s">
        <v>1</v>
      </c>
      <c r="D1" s="224"/>
    </row>
    <row r="2" spans="1:4" s="28" customFormat="1" ht="15" customHeight="1" x14ac:dyDescent="0.25">
      <c r="A2" s="29"/>
      <c r="B2" s="27"/>
      <c r="C2" s="225" t="s">
        <v>2</v>
      </c>
      <c r="D2" s="226"/>
    </row>
    <row r="3" spans="1:4" s="28" customFormat="1" ht="15" customHeight="1" x14ac:dyDescent="0.25">
      <c r="A3" s="29"/>
      <c r="B3" s="27"/>
      <c r="C3" s="223" t="s">
        <v>3</v>
      </c>
      <c r="D3" s="224"/>
    </row>
    <row r="4" spans="1:4" s="32" customFormat="1" ht="30" customHeight="1" x14ac:dyDescent="0.25">
      <c r="A4" s="30"/>
      <c r="B4" s="31"/>
      <c r="C4" s="227" t="s">
        <v>13</v>
      </c>
      <c r="D4" s="228"/>
    </row>
    <row r="5" spans="1:4" ht="18" customHeight="1" x14ac:dyDescent="0.2">
      <c r="A5" s="229" t="s">
        <v>792</v>
      </c>
      <c r="B5" s="230"/>
      <c r="C5" s="230"/>
      <c r="D5" s="231"/>
    </row>
    <row r="6" spans="1:4" ht="16.5" customHeight="1" x14ac:dyDescent="0.2">
      <c r="A6" s="34"/>
      <c r="B6" s="24"/>
      <c r="C6" s="213" t="s">
        <v>387</v>
      </c>
      <c r="D6" s="35"/>
    </row>
    <row r="7" spans="1:4" ht="16.5" customHeight="1" x14ac:dyDescent="0.2">
      <c r="A7" s="34"/>
      <c r="B7" s="25"/>
      <c r="C7" s="213" t="s">
        <v>791</v>
      </c>
      <c r="D7" s="35"/>
    </row>
    <row r="8" spans="1:4" ht="16.5" customHeight="1" x14ac:dyDescent="0.2">
      <c r="A8" s="34"/>
      <c r="B8" s="25"/>
      <c r="C8" s="213" t="s">
        <v>388</v>
      </c>
      <c r="D8" s="35"/>
    </row>
    <row r="9" spans="1:4" ht="15" x14ac:dyDescent="0.2">
      <c r="A9" s="36"/>
      <c r="B9" s="23"/>
      <c r="C9" s="213" t="s">
        <v>390</v>
      </c>
      <c r="D9" s="37"/>
    </row>
    <row r="10" spans="1:4" ht="15" x14ac:dyDescent="0.2">
      <c r="A10" s="36"/>
      <c r="B10" s="23"/>
      <c r="C10" s="213" t="s">
        <v>389</v>
      </c>
      <c r="D10" s="37"/>
    </row>
    <row r="11" spans="1:4" ht="15" x14ac:dyDescent="0.2">
      <c r="A11" s="36"/>
      <c r="B11" s="23"/>
      <c r="C11" s="213" t="s">
        <v>784</v>
      </c>
      <c r="D11" s="37"/>
    </row>
    <row r="12" spans="1:4" ht="15" x14ac:dyDescent="0.2">
      <c r="A12" s="36"/>
      <c r="B12" s="38"/>
      <c r="C12" s="213" t="s">
        <v>785</v>
      </c>
      <c r="D12" s="37"/>
    </row>
    <row r="13" spans="1:4" ht="15" customHeight="1" x14ac:dyDescent="0.2">
      <c r="A13" s="39"/>
      <c r="B13" s="40"/>
      <c r="C13" s="214" t="s">
        <v>786</v>
      </c>
      <c r="D13" s="41"/>
    </row>
    <row r="14" spans="1:4" ht="15" x14ac:dyDescent="0.2">
      <c r="A14" s="39"/>
      <c r="B14" s="40"/>
      <c r="C14" s="214" t="s">
        <v>787</v>
      </c>
      <c r="D14" s="41"/>
    </row>
    <row r="15" spans="1:4" ht="15" x14ac:dyDescent="0.2">
      <c r="A15" s="39"/>
      <c r="B15" s="40"/>
      <c r="C15" s="214" t="s">
        <v>788</v>
      </c>
      <c r="D15" s="41"/>
    </row>
    <row r="16" spans="1:4" ht="15" x14ac:dyDescent="0.2">
      <c r="A16" s="39"/>
      <c r="B16" s="40"/>
      <c r="C16" s="214" t="s">
        <v>789</v>
      </c>
      <c r="D16" s="41"/>
    </row>
    <row r="17" spans="1:4" ht="18" customHeight="1" x14ac:dyDescent="0.25">
      <c r="A17" s="36"/>
      <c r="B17" s="38"/>
      <c r="C17" s="216" t="s">
        <v>790</v>
      </c>
      <c r="D17" s="37"/>
    </row>
    <row r="18" spans="1:4" ht="77.25" customHeight="1" x14ac:dyDescent="0.2">
      <c r="A18" s="39"/>
      <c r="B18" s="40"/>
      <c r="C18" s="215"/>
      <c r="D18" s="41"/>
    </row>
    <row r="19" spans="1:4" ht="18" customHeight="1" x14ac:dyDescent="0.2">
      <c r="A19" s="220" t="s">
        <v>4</v>
      </c>
      <c r="B19" s="221"/>
      <c r="C19" s="221"/>
      <c r="D19" s="222"/>
    </row>
    <row r="20" spans="1:4" ht="30" customHeight="1" x14ac:dyDescent="0.2">
      <c r="A20" s="217" t="s">
        <v>12</v>
      </c>
      <c r="B20" s="218"/>
      <c r="C20" s="218"/>
      <c r="D20" s="219"/>
    </row>
  </sheetData>
  <mergeCells count="7">
    <mergeCell ref="A20:D20"/>
    <mergeCell ref="A19:D19"/>
    <mergeCell ref="C1:D1"/>
    <mergeCell ref="C2:D2"/>
    <mergeCell ref="C3:D3"/>
    <mergeCell ref="C4:D4"/>
    <mergeCell ref="A5:D5"/>
  </mergeCells>
  <hyperlinks>
    <hyperlink ref="C2" r:id="rId1" xr:uid="{D7B61F4B-136F-4DDF-8ECD-2FBB222589DC}"/>
    <hyperlink ref="C6" location="'Детский сад1'!A1" display="1. Школьная мебель" xr:uid="{8571D22D-DD55-4490-959E-63C9786C9964}"/>
    <hyperlink ref="C7" location="'Детский сад2'!A1" display="2.Мебель для дошкольных учреждений №2" xr:uid="{00A09CDE-6750-41B0-834D-7749FFFAC115}"/>
    <hyperlink ref="C9" location="Модульная1!A1" display="4. Модульная мебель для дошкольных учреждений №1" xr:uid="{CF95AD7B-462E-48EA-8860-4469510A9829}"/>
    <hyperlink ref="C8" location="'Стеллажи детские'!A1" display="3.Стеллажи для игрушек" xr:uid="{CAB81FFE-F835-4DD7-9FD6-1BA9A974FA5D}"/>
    <hyperlink ref="C10" location="Модульная2!A1" display="5. Модульная мебель для дошкольных учреждений №2" xr:uid="{1EEDEEE4-3748-45C5-B51B-94DF3A8969EA}"/>
    <hyperlink ref="C11" location="Стулья!A1" display="6. Стулья" xr:uid="{D87A1FCF-9F4D-42C1-BC28-9009051763D6}"/>
    <hyperlink ref="C12" location="Столы!A1" display="7. Столы" xr:uid="{8FFA955E-0DA2-41AB-A111-4F8F9DF4AE3A}"/>
    <hyperlink ref="C13" location="Шкафы!A1" display="8. Шкафы" xr:uid="{A91D4C2E-C435-4F21-85A0-E11125CB13C3}"/>
    <hyperlink ref="C14" location="Скамьи!A1" display="9. Скамьи" xr:uid="{2005E0B4-4343-4D06-88D9-CC7C27FA6C82}"/>
    <hyperlink ref="C15" location="'Кровати и тумбы'!A1" display="10. Кровати и тумбы" xr:uid="{D563D101-66D8-4CEB-9AD0-A07D5FA0DBE3}"/>
    <hyperlink ref="C16" location="'Стенки и стеллажи'!A1" display="11. Стенки и стеллажи" xr:uid="{B0194D99-E813-41B5-9C4D-F3756341AA21}"/>
    <hyperlink ref="C17" location="'Игровая мебель'!A1" display="12. Игровая мебель" xr:uid="{2B768C64-DA92-4873-B10D-F3298E72C2E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4ED74-C5C6-42CC-A0F1-3609EBFE833E}">
  <sheetPr codeName="Лист5">
    <tabColor rgb="FFFFC000"/>
  </sheetPr>
  <dimension ref="A1:M15"/>
  <sheetViews>
    <sheetView zoomScaleNormal="100" workbookViewId="0">
      <pane ySplit="2" topLeftCell="A3" activePane="bottomLeft" state="frozen"/>
      <selection activeCell="B4" sqref="B4"/>
      <selection pane="bottomLeft" activeCell="G1" sqref="G1:I1"/>
    </sheetView>
  </sheetViews>
  <sheetFormatPr defaultColWidth="9.140625" defaultRowHeight="15" x14ac:dyDescent="0.25"/>
  <cols>
    <col min="1" max="1" width="22" style="174" customWidth="1"/>
    <col min="2" max="2" width="41.85546875" style="174" customWidth="1"/>
    <col min="3" max="3" width="38.140625" style="174" customWidth="1"/>
    <col min="4" max="4" width="17.85546875" style="186" hidden="1" customWidth="1"/>
    <col min="5" max="5" width="17.85546875" style="209" hidden="1" customWidth="1"/>
    <col min="6" max="6" width="12.85546875" style="174" customWidth="1"/>
    <col min="7" max="7" width="4.85546875" style="174" customWidth="1"/>
    <col min="8" max="8" width="5.7109375" style="174" customWidth="1"/>
    <col min="9" max="9" width="14.140625" style="174" customWidth="1"/>
    <col min="10" max="10" width="5.28515625" style="174" customWidth="1"/>
    <col min="11" max="11" width="5.140625" style="174" customWidth="1"/>
    <col min="12" max="12" width="5.28515625" style="174" customWidth="1"/>
    <col min="13" max="30" width="13.7109375" style="174" customWidth="1"/>
    <col min="31" max="16384" width="9.140625" style="174"/>
  </cols>
  <sheetData>
    <row r="1" spans="1:13" ht="20.100000000000001" customHeight="1" x14ac:dyDescent="0.25">
      <c r="A1" s="380" t="s">
        <v>631</v>
      </c>
      <c r="B1" s="380"/>
      <c r="C1" s="380"/>
      <c r="D1" s="380"/>
      <c r="E1" s="380"/>
      <c r="F1" s="380"/>
      <c r="G1" s="378" t="s">
        <v>783</v>
      </c>
      <c r="H1" s="378"/>
      <c r="I1" s="378"/>
    </row>
    <row r="2" spans="1:13" ht="15" customHeight="1" x14ac:dyDescent="0.25">
      <c r="A2" s="188" t="s">
        <v>391</v>
      </c>
      <c r="B2" s="188" t="s">
        <v>392</v>
      </c>
      <c r="C2" s="188" t="s">
        <v>393</v>
      </c>
      <c r="D2" s="206" t="s">
        <v>394</v>
      </c>
      <c r="E2" s="210"/>
      <c r="F2" s="188" t="s">
        <v>781</v>
      </c>
    </row>
    <row r="3" spans="1:13" ht="107.25" customHeight="1" x14ac:dyDescent="0.25">
      <c r="A3" s="176">
        <v>48773</v>
      </c>
      <c r="B3" s="183"/>
      <c r="C3" s="202" t="s">
        <v>632</v>
      </c>
      <c r="D3" s="189">
        <v>460</v>
      </c>
      <c r="E3" s="208">
        <v>1.8</v>
      </c>
      <c r="F3" s="211">
        <f>D3*E3</f>
        <v>828</v>
      </c>
    </row>
    <row r="4" spans="1:13" ht="107.25" customHeight="1" x14ac:dyDescent="0.25">
      <c r="A4" s="176">
        <v>48774</v>
      </c>
      <c r="B4" s="183"/>
      <c r="C4" s="202" t="s">
        <v>633</v>
      </c>
      <c r="D4" s="189">
        <v>910</v>
      </c>
      <c r="E4" s="208">
        <v>1.8</v>
      </c>
      <c r="F4" s="211">
        <f t="shared" ref="F4:F15" si="0">D4*E4</f>
        <v>1638</v>
      </c>
    </row>
    <row r="5" spans="1:13" ht="107.25" customHeight="1" x14ac:dyDescent="0.25">
      <c r="A5" s="176">
        <v>48775</v>
      </c>
      <c r="B5" s="183"/>
      <c r="C5" s="202" t="s">
        <v>634</v>
      </c>
      <c r="D5" s="189">
        <v>1190</v>
      </c>
      <c r="E5" s="208">
        <v>1.8</v>
      </c>
      <c r="F5" s="211">
        <f t="shared" si="0"/>
        <v>2142</v>
      </c>
    </row>
    <row r="6" spans="1:13" ht="126.75" customHeight="1" x14ac:dyDescent="0.25">
      <c r="A6" s="176">
        <v>48776</v>
      </c>
      <c r="B6" s="183"/>
      <c r="C6" s="202" t="s">
        <v>635</v>
      </c>
      <c r="D6" s="189">
        <v>1580</v>
      </c>
      <c r="E6" s="208">
        <v>1.8</v>
      </c>
      <c r="F6" s="211">
        <f t="shared" si="0"/>
        <v>2844</v>
      </c>
    </row>
    <row r="7" spans="1:13" ht="126.75" customHeight="1" x14ac:dyDescent="0.25">
      <c r="A7" s="176">
        <v>48777</v>
      </c>
      <c r="B7" s="183"/>
      <c r="C7" s="202" t="s">
        <v>636</v>
      </c>
      <c r="D7" s="189">
        <v>1810</v>
      </c>
      <c r="E7" s="208">
        <v>1.8</v>
      </c>
      <c r="F7" s="211">
        <f t="shared" si="0"/>
        <v>3258</v>
      </c>
    </row>
    <row r="8" spans="1:13" ht="139.5" customHeight="1" x14ac:dyDescent="0.25">
      <c r="A8" s="176">
        <v>48862</v>
      </c>
      <c r="B8" s="183"/>
      <c r="C8" s="202" t="s">
        <v>637</v>
      </c>
      <c r="D8" s="191">
        <v>1250</v>
      </c>
      <c r="E8" s="208">
        <v>1.8</v>
      </c>
      <c r="F8" s="211">
        <f t="shared" si="0"/>
        <v>2250</v>
      </c>
    </row>
    <row r="9" spans="1:13" ht="139.5" customHeight="1" x14ac:dyDescent="0.25">
      <c r="A9" s="175" t="s">
        <v>638</v>
      </c>
      <c r="B9" s="183"/>
      <c r="C9" s="202" t="s">
        <v>639</v>
      </c>
      <c r="D9" s="191">
        <v>1350</v>
      </c>
      <c r="E9" s="208">
        <v>1.8</v>
      </c>
      <c r="F9" s="211">
        <f t="shared" si="0"/>
        <v>2430</v>
      </c>
    </row>
    <row r="10" spans="1:13" ht="159.75" customHeight="1" x14ac:dyDescent="0.25">
      <c r="A10" s="176">
        <v>48865</v>
      </c>
      <c r="B10" s="183"/>
      <c r="C10" s="202" t="s">
        <v>640</v>
      </c>
      <c r="D10" s="191">
        <v>1490</v>
      </c>
      <c r="E10" s="208">
        <v>1.8</v>
      </c>
      <c r="F10" s="211">
        <f t="shared" si="0"/>
        <v>2682</v>
      </c>
    </row>
    <row r="11" spans="1:13" ht="156.75" customHeight="1" x14ac:dyDescent="0.25">
      <c r="A11" s="176">
        <v>48866</v>
      </c>
      <c r="B11" s="183"/>
      <c r="C11" s="202" t="s">
        <v>641</v>
      </c>
      <c r="D11" s="191">
        <v>1590</v>
      </c>
      <c r="E11" s="208">
        <v>1.8</v>
      </c>
      <c r="F11" s="211">
        <f t="shared" si="0"/>
        <v>2862</v>
      </c>
    </row>
    <row r="12" spans="1:13" ht="139.5" customHeight="1" x14ac:dyDescent="0.25">
      <c r="A12" s="176">
        <v>48867</v>
      </c>
      <c r="B12" s="183"/>
      <c r="C12" s="202" t="s">
        <v>642</v>
      </c>
      <c r="D12" s="191">
        <v>1900</v>
      </c>
      <c r="E12" s="208">
        <v>1.8</v>
      </c>
      <c r="F12" s="211">
        <f t="shared" si="0"/>
        <v>3420</v>
      </c>
    </row>
    <row r="13" spans="1:13" ht="144.75" customHeight="1" x14ac:dyDescent="0.25">
      <c r="A13" s="175" t="s">
        <v>643</v>
      </c>
      <c r="B13" s="183"/>
      <c r="C13" s="202" t="s">
        <v>644</v>
      </c>
      <c r="D13" s="191">
        <v>2000</v>
      </c>
      <c r="E13" s="208">
        <v>1.8</v>
      </c>
      <c r="F13" s="211">
        <f t="shared" si="0"/>
        <v>3600</v>
      </c>
      <c r="M13" s="205"/>
    </row>
    <row r="14" spans="1:13" ht="139.5" customHeight="1" x14ac:dyDescent="0.25">
      <c r="A14" s="176">
        <v>48871</v>
      </c>
      <c r="B14" s="183"/>
      <c r="C14" s="202" t="s">
        <v>645</v>
      </c>
      <c r="D14" s="191">
        <v>2300</v>
      </c>
      <c r="E14" s="208">
        <v>1.8</v>
      </c>
      <c r="F14" s="211">
        <f t="shared" si="0"/>
        <v>4140</v>
      </c>
    </row>
    <row r="15" spans="1:13" ht="147.75" customHeight="1" x14ac:dyDescent="0.25">
      <c r="A15" s="175" t="s">
        <v>646</v>
      </c>
      <c r="B15" s="183"/>
      <c r="C15" s="202" t="s">
        <v>647</v>
      </c>
      <c r="D15" s="191">
        <v>2400</v>
      </c>
      <c r="E15" s="208">
        <v>1.8</v>
      </c>
      <c r="F15" s="211">
        <f t="shared" si="0"/>
        <v>4320</v>
      </c>
      <c r="M15" s="205"/>
    </row>
  </sheetData>
  <mergeCells count="2">
    <mergeCell ref="A1:F1"/>
    <mergeCell ref="G1:I1"/>
  </mergeCells>
  <hyperlinks>
    <hyperlink ref="G1:I1" location="ОГЛАВЛЕНИЕ!A1" display="Вернуться к оглавлению" xr:uid="{079CDADE-49F0-47E0-8BAA-4D1E2870A0A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33C52-D183-427D-8F6E-64B1C64DC463}">
  <sheetPr codeName="Лист6">
    <tabColor rgb="FFFFC000"/>
  </sheetPr>
  <dimension ref="A1:I25"/>
  <sheetViews>
    <sheetView zoomScaleNormal="100" workbookViewId="0">
      <pane ySplit="2" topLeftCell="A3" activePane="bottomLeft" state="frozen"/>
      <selection activeCell="B4" sqref="B4"/>
      <selection pane="bottomLeft" activeCell="G1" sqref="G1:I1"/>
    </sheetView>
  </sheetViews>
  <sheetFormatPr defaultColWidth="9.140625" defaultRowHeight="15" x14ac:dyDescent="0.25"/>
  <cols>
    <col min="1" max="1" width="24.85546875" style="174" customWidth="1"/>
    <col min="2" max="2" width="41.85546875" style="174" customWidth="1"/>
    <col min="3" max="3" width="40" style="174" customWidth="1"/>
    <col min="4" max="4" width="17.85546875" style="186" hidden="1" customWidth="1"/>
    <col min="5" max="5" width="27.5703125" style="174" hidden="1" customWidth="1"/>
    <col min="6" max="6" width="14.140625" style="174" customWidth="1"/>
    <col min="7" max="7" width="10.7109375" style="174" customWidth="1"/>
    <col min="8" max="8" width="5.140625" style="174" customWidth="1"/>
    <col min="9" max="9" width="11.7109375" style="174" customWidth="1"/>
    <col min="10" max="22" width="13.7109375" style="174" customWidth="1"/>
    <col min="23" max="16384" width="9.140625" style="174"/>
  </cols>
  <sheetData>
    <row r="1" spans="1:9" ht="20.100000000000001" customHeight="1" x14ac:dyDescent="0.25">
      <c r="A1" s="380" t="s">
        <v>648</v>
      </c>
      <c r="B1" s="380"/>
      <c r="C1" s="380"/>
      <c r="D1" s="380"/>
      <c r="E1" s="380"/>
      <c r="F1" s="380"/>
      <c r="G1" s="378" t="s">
        <v>783</v>
      </c>
      <c r="H1" s="378"/>
      <c r="I1" s="378"/>
    </row>
    <row r="2" spans="1:9" ht="15" customHeight="1" x14ac:dyDescent="0.25">
      <c r="A2" s="188" t="s">
        <v>391</v>
      </c>
      <c r="B2" s="188" t="s">
        <v>392</v>
      </c>
      <c r="C2" s="188" t="s">
        <v>393</v>
      </c>
      <c r="D2" s="206" t="s">
        <v>394</v>
      </c>
      <c r="E2" s="188"/>
      <c r="F2" s="188" t="s">
        <v>781</v>
      </c>
    </row>
    <row r="3" spans="1:9" ht="139.5" customHeight="1" x14ac:dyDescent="0.25">
      <c r="A3" s="176">
        <v>57055</v>
      </c>
      <c r="B3" s="183"/>
      <c r="C3" s="202" t="s">
        <v>649</v>
      </c>
      <c r="D3" s="191">
        <v>2400</v>
      </c>
      <c r="E3" s="202">
        <v>1.8</v>
      </c>
      <c r="F3" s="211">
        <f>D3*E3</f>
        <v>4320</v>
      </c>
    </row>
    <row r="4" spans="1:9" ht="139.5" customHeight="1" x14ac:dyDescent="0.25">
      <c r="A4" s="176">
        <v>52520</v>
      </c>
      <c r="B4" s="183"/>
      <c r="C4" s="202" t="s">
        <v>650</v>
      </c>
      <c r="D4" s="189">
        <v>2450</v>
      </c>
      <c r="E4" s="202">
        <v>1.8</v>
      </c>
      <c r="F4" s="211">
        <f t="shared" ref="F4:F25" si="0">D4*E4</f>
        <v>4410</v>
      </c>
    </row>
    <row r="5" spans="1:9" ht="139.5" customHeight="1" x14ac:dyDescent="0.25">
      <c r="A5" s="176">
        <v>29142</v>
      </c>
      <c r="B5" s="183"/>
      <c r="C5" s="202" t="s">
        <v>651</v>
      </c>
      <c r="D5" s="189">
        <v>5500</v>
      </c>
      <c r="E5" s="202">
        <v>1.8</v>
      </c>
      <c r="F5" s="211">
        <f t="shared" si="0"/>
        <v>9900</v>
      </c>
    </row>
    <row r="6" spans="1:9" ht="139.5" customHeight="1" x14ac:dyDescent="0.25">
      <c r="A6" s="175" t="s">
        <v>652</v>
      </c>
      <c r="B6" s="183"/>
      <c r="C6" s="202" t="s">
        <v>653</v>
      </c>
      <c r="D6" s="191">
        <v>4450</v>
      </c>
      <c r="E6" s="202">
        <v>1.8</v>
      </c>
      <c r="F6" s="211">
        <f t="shared" si="0"/>
        <v>8010</v>
      </c>
    </row>
    <row r="7" spans="1:9" ht="151.5" customHeight="1" x14ac:dyDescent="0.25">
      <c r="A7" s="201" t="s">
        <v>654</v>
      </c>
      <c r="B7" s="183"/>
      <c r="C7" s="202" t="s">
        <v>655</v>
      </c>
      <c r="D7" s="191">
        <v>4550</v>
      </c>
      <c r="E7" s="202">
        <v>1.8</v>
      </c>
      <c r="F7" s="211">
        <f t="shared" si="0"/>
        <v>8190</v>
      </c>
    </row>
    <row r="8" spans="1:9" ht="195" customHeight="1" x14ac:dyDescent="0.25">
      <c r="A8" s="175">
        <v>58119</v>
      </c>
      <c r="B8" s="183"/>
      <c r="C8" s="202" t="s">
        <v>656</v>
      </c>
      <c r="D8" s="191">
        <v>8900</v>
      </c>
      <c r="E8" s="202">
        <v>1.8</v>
      </c>
      <c r="F8" s="211">
        <f t="shared" si="0"/>
        <v>16020</v>
      </c>
    </row>
    <row r="9" spans="1:9" ht="139.5" customHeight="1" x14ac:dyDescent="0.25">
      <c r="A9" s="175" t="s">
        <v>657</v>
      </c>
      <c r="B9" s="183"/>
      <c r="C9" s="202" t="s">
        <v>658</v>
      </c>
      <c r="D9" s="200">
        <v>14100</v>
      </c>
      <c r="E9" s="202">
        <v>1.8</v>
      </c>
      <c r="F9" s="211">
        <f t="shared" si="0"/>
        <v>25380</v>
      </c>
    </row>
    <row r="10" spans="1:9" ht="139.5" customHeight="1" x14ac:dyDescent="0.25">
      <c r="A10" s="176">
        <v>48821</v>
      </c>
      <c r="B10" s="183"/>
      <c r="C10" s="202" t="s">
        <v>659</v>
      </c>
      <c r="D10" s="191">
        <v>8250</v>
      </c>
      <c r="E10" s="202">
        <v>1.8</v>
      </c>
      <c r="F10" s="211">
        <f t="shared" si="0"/>
        <v>14850</v>
      </c>
    </row>
    <row r="11" spans="1:9" ht="139.5" customHeight="1" x14ac:dyDescent="0.25">
      <c r="A11" s="176">
        <v>48820</v>
      </c>
      <c r="B11" s="183"/>
      <c r="C11" s="202" t="s">
        <v>660</v>
      </c>
      <c r="D11" s="191">
        <v>8350</v>
      </c>
      <c r="E11" s="202">
        <v>1.8</v>
      </c>
      <c r="F11" s="211">
        <f t="shared" si="0"/>
        <v>15030</v>
      </c>
    </row>
    <row r="12" spans="1:9" ht="139.5" customHeight="1" x14ac:dyDescent="0.25">
      <c r="A12" s="176">
        <v>48822</v>
      </c>
      <c r="B12" s="183"/>
      <c r="C12" s="202" t="s">
        <v>661</v>
      </c>
      <c r="D12" s="191">
        <v>17000</v>
      </c>
      <c r="E12" s="202">
        <v>1.8</v>
      </c>
      <c r="F12" s="211">
        <f t="shared" si="0"/>
        <v>30600</v>
      </c>
    </row>
    <row r="13" spans="1:9" ht="139.5" customHeight="1" x14ac:dyDescent="0.25">
      <c r="A13" s="175" t="s">
        <v>662</v>
      </c>
      <c r="B13" s="183"/>
      <c r="C13" s="202" t="s">
        <v>663</v>
      </c>
      <c r="D13" s="191">
        <v>17100</v>
      </c>
      <c r="E13" s="202">
        <v>1.8</v>
      </c>
      <c r="F13" s="211">
        <f t="shared" si="0"/>
        <v>30780</v>
      </c>
    </row>
    <row r="14" spans="1:9" ht="150" customHeight="1" x14ac:dyDescent="0.25">
      <c r="A14" s="176">
        <v>48844</v>
      </c>
      <c r="B14" s="183"/>
      <c r="C14" s="202" t="s">
        <v>664</v>
      </c>
      <c r="D14" s="191">
        <v>13100</v>
      </c>
      <c r="E14" s="202">
        <v>1.8</v>
      </c>
      <c r="F14" s="211">
        <f t="shared" si="0"/>
        <v>23580</v>
      </c>
    </row>
    <row r="15" spans="1:9" ht="150" customHeight="1" x14ac:dyDescent="0.25">
      <c r="A15" s="175" t="s">
        <v>665</v>
      </c>
      <c r="B15" s="183"/>
      <c r="C15" s="202" t="s">
        <v>666</v>
      </c>
      <c r="D15" s="191">
        <v>13200</v>
      </c>
      <c r="E15" s="202">
        <v>1.8</v>
      </c>
      <c r="F15" s="211">
        <f t="shared" si="0"/>
        <v>23760</v>
      </c>
    </row>
    <row r="16" spans="1:9" ht="150" customHeight="1" x14ac:dyDescent="0.25">
      <c r="A16" s="175" t="s">
        <v>667</v>
      </c>
      <c r="B16" s="183"/>
      <c r="C16" s="202" t="s">
        <v>668</v>
      </c>
      <c r="D16" s="191">
        <v>1100</v>
      </c>
      <c r="E16" s="202">
        <v>1.8</v>
      </c>
      <c r="F16" s="211">
        <f t="shared" si="0"/>
        <v>1980</v>
      </c>
    </row>
    <row r="17" spans="1:6" ht="150" customHeight="1" x14ac:dyDescent="0.25">
      <c r="A17" s="175" t="s">
        <v>669</v>
      </c>
      <c r="B17" s="183"/>
      <c r="C17" s="202" t="s">
        <v>670</v>
      </c>
      <c r="D17" s="191">
        <v>1400</v>
      </c>
      <c r="E17" s="202">
        <v>1.8</v>
      </c>
      <c r="F17" s="211">
        <f t="shared" si="0"/>
        <v>2520</v>
      </c>
    </row>
    <row r="18" spans="1:6" ht="139.5" customHeight="1" x14ac:dyDescent="0.25">
      <c r="A18" s="176">
        <v>3341</v>
      </c>
      <c r="B18" s="183"/>
      <c r="C18" s="202" t="s">
        <v>671</v>
      </c>
      <c r="D18" s="189">
        <v>4500</v>
      </c>
      <c r="E18" s="202">
        <v>1.8</v>
      </c>
      <c r="F18" s="211">
        <f t="shared" si="0"/>
        <v>8100</v>
      </c>
    </row>
    <row r="19" spans="1:6" ht="139.5" customHeight="1" x14ac:dyDescent="0.25">
      <c r="A19" s="176">
        <v>3157</v>
      </c>
      <c r="B19" s="183"/>
      <c r="C19" s="202" t="s">
        <v>672</v>
      </c>
      <c r="D19" s="189">
        <v>6900</v>
      </c>
      <c r="E19" s="202">
        <v>1.8</v>
      </c>
      <c r="F19" s="211">
        <f t="shared" si="0"/>
        <v>12420</v>
      </c>
    </row>
    <row r="20" spans="1:6" ht="139.5" customHeight="1" x14ac:dyDescent="0.25">
      <c r="A20" s="176">
        <v>3158</v>
      </c>
      <c r="B20" s="183"/>
      <c r="C20" s="202" t="s">
        <v>673</v>
      </c>
      <c r="D20" s="189">
        <v>6900</v>
      </c>
      <c r="E20" s="202">
        <v>1.8</v>
      </c>
      <c r="F20" s="211">
        <f t="shared" si="0"/>
        <v>12420</v>
      </c>
    </row>
    <row r="21" spans="1:6" ht="139.5" customHeight="1" x14ac:dyDescent="0.25">
      <c r="A21" s="176">
        <v>3340</v>
      </c>
      <c r="B21" s="183"/>
      <c r="C21" s="202" t="s">
        <v>674</v>
      </c>
      <c r="D21" s="189">
        <v>7900</v>
      </c>
      <c r="E21" s="202">
        <v>1.8</v>
      </c>
      <c r="F21" s="211">
        <f t="shared" si="0"/>
        <v>14220</v>
      </c>
    </row>
    <row r="22" spans="1:6" ht="139.5" customHeight="1" x14ac:dyDescent="0.25">
      <c r="A22" s="176">
        <v>4993</v>
      </c>
      <c r="B22" s="183"/>
      <c r="C22" s="202" t="s">
        <v>675</v>
      </c>
      <c r="D22" s="189">
        <v>5000</v>
      </c>
      <c r="E22" s="202">
        <v>1.8</v>
      </c>
      <c r="F22" s="211">
        <f t="shared" si="0"/>
        <v>9000</v>
      </c>
    </row>
    <row r="23" spans="1:6" ht="139.5" customHeight="1" x14ac:dyDescent="0.25">
      <c r="A23" s="176">
        <v>9247</v>
      </c>
      <c r="B23" s="183"/>
      <c r="C23" s="202" t="s">
        <v>676</v>
      </c>
      <c r="D23" s="189">
        <v>6100</v>
      </c>
      <c r="E23" s="202">
        <v>1.8</v>
      </c>
      <c r="F23" s="211">
        <f t="shared" si="0"/>
        <v>10980</v>
      </c>
    </row>
    <row r="24" spans="1:6" ht="139.5" customHeight="1" x14ac:dyDescent="0.25">
      <c r="A24" s="176">
        <v>9248</v>
      </c>
      <c r="B24" s="183"/>
      <c r="C24" s="202" t="s">
        <v>677</v>
      </c>
      <c r="D24" s="189">
        <v>10100</v>
      </c>
      <c r="E24" s="202">
        <v>1.8</v>
      </c>
      <c r="F24" s="211">
        <f t="shared" si="0"/>
        <v>18180</v>
      </c>
    </row>
    <row r="25" spans="1:6" ht="139.5" customHeight="1" x14ac:dyDescent="0.25">
      <c r="A25" s="176">
        <v>47038</v>
      </c>
      <c r="B25" s="183"/>
      <c r="C25" s="202" t="s">
        <v>678</v>
      </c>
      <c r="D25" s="189">
        <v>3500</v>
      </c>
      <c r="E25" s="202">
        <v>1.8</v>
      </c>
      <c r="F25" s="211">
        <f t="shared" si="0"/>
        <v>6300</v>
      </c>
    </row>
  </sheetData>
  <mergeCells count="2">
    <mergeCell ref="A1:F1"/>
    <mergeCell ref="G1:I1"/>
  </mergeCells>
  <hyperlinks>
    <hyperlink ref="G1:I1" location="ОГЛАВЛЕНИЕ!A1" display="Вернуться к оглавлению" xr:uid="{98094153-E252-4CEF-9B04-FAF895EDCAB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F5213-2A06-47D2-99DB-DC62995FBBB9}">
  <sheetPr codeName="Лист9">
    <tabColor rgb="FFFFC000"/>
  </sheetPr>
  <dimension ref="A1:I38"/>
  <sheetViews>
    <sheetView zoomScaleNormal="100" workbookViewId="0">
      <pane ySplit="2" topLeftCell="A3" activePane="bottomLeft" state="frozen"/>
      <selection activeCell="B4" sqref="B4"/>
      <selection pane="bottomLeft" activeCell="G1" sqref="G1:I1"/>
    </sheetView>
  </sheetViews>
  <sheetFormatPr defaultColWidth="9.140625" defaultRowHeight="15" x14ac:dyDescent="0.25"/>
  <cols>
    <col min="1" max="1" width="29.85546875" style="174" customWidth="1"/>
    <col min="2" max="2" width="41.85546875" style="174" customWidth="1"/>
    <col min="3" max="3" width="38.140625" style="174" customWidth="1"/>
    <col min="4" max="4" width="17.85546875" style="186" hidden="1" customWidth="1"/>
    <col min="5" max="5" width="38.140625" style="174" hidden="1" customWidth="1"/>
    <col min="6" max="6" width="16.85546875" style="174" customWidth="1"/>
    <col min="7" max="7" width="4.85546875" style="174" customWidth="1"/>
    <col min="8" max="8" width="5.7109375" style="174" customWidth="1"/>
    <col min="9" max="9" width="14.140625" style="174" customWidth="1"/>
    <col min="10" max="10" width="5.28515625" style="174" customWidth="1"/>
    <col min="11" max="11" width="5.140625" style="174" customWidth="1"/>
    <col min="12" max="12" width="5.28515625" style="174" customWidth="1"/>
    <col min="13" max="26" width="13.7109375" style="174" customWidth="1"/>
    <col min="27" max="16384" width="9.140625" style="174"/>
  </cols>
  <sheetData>
    <row r="1" spans="1:9" ht="20.25" x14ac:dyDescent="0.25">
      <c r="A1" s="380" t="s">
        <v>679</v>
      </c>
      <c r="B1" s="380"/>
      <c r="C1" s="380"/>
      <c r="D1" s="380"/>
      <c r="E1" s="380"/>
      <c r="F1" s="380"/>
      <c r="G1" s="378" t="s">
        <v>783</v>
      </c>
      <c r="H1" s="378"/>
      <c r="I1" s="378"/>
    </row>
    <row r="2" spans="1:9" ht="15" customHeight="1" x14ac:dyDescent="0.25">
      <c r="A2" s="188" t="s">
        <v>391</v>
      </c>
      <c r="B2" s="188" t="s">
        <v>392</v>
      </c>
      <c r="C2" s="188" t="s">
        <v>393</v>
      </c>
      <c r="D2" s="206" t="s">
        <v>394</v>
      </c>
      <c r="E2" s="188"/>
      <c r="F2" s="188" t="s">
        <v>781</v>
      </c>
    </row>
    <row r="3" spans="1:9" ht="139.5" customHeight="1" x14ac:dyDescent="0.25">
      <c r="A3" s="175" t="s">
        <v>680</v>
      </c>
      <c r="B3" s="183"/>
      <c r="C3" s="175" t="s">
        <v>681</v>
      </c>
      <c r="D3" s="191">
        <v>26400</v>
      </c>
      <c r="E3" s="175">
        <v>1.8</v>
      </c>
      <c r="F3" s="212">
        <f>D3*E3</f>
        <v>47520</v>
      </c>
    </row>
    <row r="4" spans="1:9" ht="139.5" customHeight="1" x14ac:dyDescent="0.25">
      <c r="A4" s="176">
        <v>48941</v>
      </c>
      <c r="B4" s="183"/>
      <c r="C4" s="175" t="s">
        <v>682</v>
      </c>
      <c r="D4" s="191">
        <v>23100</v>
      </c>
      <c r="E4" s="175">
        <v>1.8</v>
      </c>
      <c r="F4" s="212">
        <f t="shared" ref="F4:F38" si="0">D4*E4</f>
        <v>41580</v>
      </c>
    </row>
    <row r="5" spans="1:9" ht="139.5" customHeight="1" x14ac:dyDescent="0.25">
      <c r="A5" s="176">
        <v>48938</v>
      </c>
      <c r="B5" s="183"/>
      <c r="C5" s="175" t="s">
        <v>683</v>
      </c>
      <c r="D5" s="191">
        <v>18700</v>
      </c>
      <c r="E5" s="175">
        <v>1.8</v>
      </c>
      <c r="F5" s="212">
        <f t="shared" si="0"/>
        <v>33660</v>
      </c>
    </row>
    <row r="6" spans="1:9" ht="139.5" customHeight="1" x14ac:dyDescent="0.25">
      <c r="A6" s="175" t="s">
        <v>684</v>
      </c>
      <c r="B6" s="183"/>
      <c r="C6" s="175" t="s">
        <v>685</v>
      </c>
      <c r="D6" s="191">
        <v>15200</v>
      </c>
      <c r="E6" s="175">
        <v>1.8</v>
      </c>
      <c r="F6" s="212">
        <f t="shared" si="0"/>
        <v>27360</v>
      </c>
    </row>
    <row r="7" spans="1:9" ht="139.5" customHeight="1" x14ac:dyDescent="0.25">
      <c r="A7" s="176">
        <v>32928</v>
      </c>
      <c r="B7" s="183"/>
      <c r="C7" s="175" t="s">
        <v>686</v>
      </c>
      <c r="D7" s="191">
        <v>29800</v>
      </c>
      <c r="E7" s="175">
        <v>1.8</v>
      </c>
      <c r="F7" s="212">
        <f t="shared" si="0"/>
        <v>53640</v>
      </c>
    </row>
    <row r="8" spans="1:9" ht="139.5" customHeight="1" x14ac:dyDescent="0.25">
      <c r="A8" s="176">
        <v>32933</v>
      </c>
      <c r="B8" s="183"/>
      <c r="C8" s="175" t="s">
        <v>687</v>
      </c>
      <c r="D8" s="191">
        <v>27600</v>
      </c>
      <c r="E8" s="175">
        <v>1.8</v>
      </c>
      <c r="F8" s="212">
        <f t="shared" si="0"/>
        <v>49680</v>
      </c>
    </row>
    <row r="9" spans="1:9" ht="139.5" customHeight="1" x14ac:dyDescent="0.25">
      <c r="A9" s="176">
        <v>32935</v>
      </c>
      <c r="B9" s="183"/>
      <c r="C9" s="175" t="s">
        <v>688</v>
      </c>
      <c r="D9" s="191">
        <v>34900</v>
      </c>
      <c r="E9" s="175">
        <v>1.8</v>
      </c>
      <c r="F9" s="212">
        <f t="shared" si="0"/>
        <v>62820</v>
      </c>
    </row>
    <row r="10" spans="1:9" ht="139.5" customHeight="1" x14ac:dyDescent="0.25">
      <c r="A10" s="176">
        <v>32922</v>
      </c>
      <c r="B10" s="183"/>
      <c r="C10" s="175" t="s">
        <v>689</v>
      </c>
      <c r="D10" s="191">
        <v>29900</v>
      </c>
      <c r="E10" s="175">
        <v>1.8</v>
      </c>
      <c r="F10" s="212">
        <f t="shared" si="0"/>
        <v>53820</v>
      </c>
    </row>
    <row r="11" spans="1:9" ht="139.5" customHeight="1" x14ac:dyDescent="0.25">
      <c r="A11" s="176">
        <v>32926</v>
      </c>
      <c r="B11" s="183"/>
      <c r="C11" s="175" t="s">
        <v>690</v>
      </c>
      <c r="D11" s="191">
        <v>23500</v>
      </c>
      <c r="E11" s="175">
        <v>1.8</v>
      </c>
      <c r="F11" s="212">
        <f t="shared" si="0"/>
        <v>42300</v>
      </c>
    </row>
    <row r="12" spans="1:9" ht="139.5" customHeight="1" x14ac:dyDescent="0.25">
      <c r="A12" s="176">
        <v>32946</v>
      </c>
      <c r="B12" s="183"/>
      <c r="C12" s="175" t="s">
        <v>691</v>
      </c>
      <c r="D12" s="191">
        <v>39100</v>
      </c>
      <c r="E12" s="175">
        <v>1.8</v>
      </c>
      <c r="F12" s="212">
        <f t="shared" si="0"/>
        <v>70380</v>
      </c>
    </row>
    <row r="13" spans="1:9" ht="139.5" customHeight="1" x14ac:dyDescent="0.25">
      <c r="A13" s="176">
        <v>32953</v>
      </c>
      <c r="B13" s="183"/>
      <c r="C13" s="175" t="s">
        <v>692</v>
      </c>
      <c r="D13" s="191">
        <v>37800</v>
      </c>
      <c r="E13" s="175">
        <v>1.8</v>
      </c>
      <c r="F13" s="212">
        <f t="shared" si="0"/>
        <v>68040</v>
      </c>
    </row>
    <row r="14" spans="1:9" ht="139.5" customHeight="1" x14ac:dyDescent="0.25">
      <c r="A14" s="176">
        <v>32949</v>
      </c>
      <c r="B14" s="183"/>
      <c r="C14" s="178" t="s">
        <v>693</v>
      </c>
      <c r="D14" s="200">
        <v>32000</v>
      </c>
      <c r="E14" s="175">
        <v>1.8</v>
      </c>
      <c r="F14" s="212">
        <f t="shared" si="0"/>
        <v>57600</v>
      </c>
    </row>
    <row r="15" spans="1:9" ht="139.5" customHeight="1" x14ac:dyDescent="0.25">
      <c r="A15" s="176">
        <v>48876</v>
      </c>
      <c r="B15" s="183"/>
      <c r="C15" s="175" t="s">
        <v>694</v>
      </c>
      <c r="D15" s="191">
        <v>16800</v>
      </c>
      <c r="E15" s="175">
        <v>1.8</v>
      </c>
      <c r="F15" s="212">
        <f t="shared" si="0"/>
        <v>30240</v>
      </c>
    </row>
    <row r="16" spans="1:9" ht="139.5" customHeight="1" x14ac:dyDescent="0.25">
      <c r="A16" s="176">
        <v>48875</v>
      </c>
      <c r="B16" s="183"/>
      <c r="C16" s="175" t="s">
        <v>695</v>
      </c>
      <c r="D16" s="191">
        <v>13200</v>
      </c>
      <c r="E16" s="175">
        <v>1.8</v>
      </c>
      <c r="F16" s="212">
        <f t="shared" si="0"/>
        <v>23760</v>
      </c>
    </row>
    <row r="17" spans="1:6" ht="139.5" customHeight="1" x14ac:dyDescent="0.25">
      <c r="A17" s="176">
        <v>48877</v>
      </c>
      <c r="B17" s="183"/>
      <c r="C17" s="175" t="s">
        <v>696</v>
      </c>
      <c r="D17" s="191">
        <v>16000</v>
      </c>
      <c r="E17" s="175">
        <v>1.8</v>
      </c>
      <c r="F17" s="212">
        <f t="shared" si="0"/>
        <v>28800</v>
      </c>
    </row>
    <row r="18" spans="1:6" ht="139.5" customHeight="1" x14ac:dyDescent="0.25">
      <c r="A18" s="176">
        <v>41865</v>
      </c>
      <c r="B18" s="183"/>
      <c r="C18" s="178" t="s">
        <v>697</v>
      </c>
      <c r="D18" s="200">
        <v>19000</v>
      </c>
      <c r="E18" s="175">
        <v>1.8</v>
      </c>
      <c r="F18" s="212">
        <f t="shared" si="0"/>
        <v>34200</v>
      </c>
    </row>
    <row r="19" spans="1:6" ht="153" customHeight="1" x14ac:dyDescent="0.25">
      <c r="A19" s="175" t="s">
        <v>698</v>
      </c>
      <c r="B19" s="183"/>
      <c r="C19" s="175" t="s">
        <v>699</v>
      </c>
      <c r="D19" s="191">
        <v>5880</v>
      </c>
      <c r="E19" s="175">
        <v>1.8</v>
      </c>
      <c r="F19" s="212">
        <f t="shared" si="0"/>
        <v>10584</v>
      </c>
    </row>
    <row r="20" spans="1:6" ht="153" customHeight="1" x14ac:dyDescent="0.25">
      <c r="A20" s="176">
        <v>32012</v>
      </c>
      <c r="B20" s="183"/>
      <c r="C20" s="175" t="s">
        <v>700</v>
      </c>
      <c r="D20" s="191">
        <v>8500</v>
      </c>
      <c r="E20" s="175">
        <v>1.8</v>
      </c>
      <c r="F20" s="212">
        <f t="shared" si="0"/>
        <v>15300</v>
      </c>
    </row>
    <row r="21" spans="1:6" ht="140.25" customHeight="1" x14ac:dyDescent="0.25">
      <c r="A21" s="175" t="s">
        <v>701</v>
      </c>
      <c r="B21" s="183"/>
      <c r="C21" s="175" t="s">
        <v>702</v>
      </c>
      <c r="D21" s="191">
        <v>4350</v>
      </c>
      <c r="E21" s="175">
        <v>1.8</v>
      </c>
      <c r="F21" s="212">
        <f t="shared" si="0"/>
        <v>7830</v>
      </c>
    </row>
    <row r="22" spans="1:6" ht="140.25" customHeight="1" x14ac:dyDescent="0.25">
      <c r="A22" s="175" t="s">
        <v>703</v>
      </c>
      <c r="B22" s="183"/>
      <c r="C22" s="175" t="s">
        <v>704</v>
      </c>
      <c r="D22" s="191">
        <v>5750</v>
      </c>
      <c r="E22" s="175">
        <v>1.8</v>
      </c>
      <c r="F22" s="212">
        <f t="shared" si="0"/>
        <v>10350</v>
      </c>
    </row>
    <row r="23" spans="1:6" ht="140.25" customHeight="1" x14ac:dyDescent="0.25">
      <c r="A23" s="175">
        <v>41866</v>
      </c>
      <c r="B23" s="183"/>
      <c r="C23" s="175" t="s">
        <v>705</v>
      </c>
      <c r="D23" s="191">
        <v>9250</v>
      </c>
      <c r="E23" s="175">
        <v>1.8</v>
      </c>
      <c r="F23" s="212">
        <f t="shared" si="0"/>
        <v>16650</v>
      </c>
    </row>
    <row r="24" spans="1:6" ht="140.25" customHeight="1" x14ac:dyDescent="0.25">
      <c r="A24" s="175">
        <v>41868</v>
      </c>
      <c r="B24" s="183"/>
      <c r="C24" s="175" t="s">
        <v>706</v>
      </c>
      <c r="D24" s="200">
        <v>14400</v>
      </c>
      <c r="E24" s="175">
        <v>1.8</v>
      </c>
      <c r="F24" s="212">
        <f t="shared" si="0"/>
        <v>25920</v>
      </c>
    </row>
    <row r="25" spans="1:6" ht="140.25" customHeight="1" x14ac:dyDescent="0.25">
      <c r="A25" s="175" t="s">
        <v>707</v>
      </c>
      <c r="B25" s="183"/>
      <c r="C25" s="175" t="s">
        <v>708</v>
      </c>
      <c r="D25" s="191">
        <v>6750</v>
      </c>
      <c r="E25" s="175">
        <v>1.8</v>
      </c>
      <c r="F25" s="212">
        <f t="shared" si="0"/>
        <v>12150</v>
      </c>
    </row>
    <row r="26" spans="1:6" ht="140.25" customHeight="1" x14ac:dyDescent="0.25">
      <c r="A26" s="176">
        <v>42071</v>
      </c>
      <c r="B26" s="183"/>
      <c r="C26" s="175" t="s">
        <v>709</v>
      </c>
      <c r="D26" s="200">
        <v>30250</v>
      </c>
      <c r="E26" s="175">
        <v>1.8</v>
      </c>
      <c r="F26" s="212">
        <f t="shared" si="0"/>
        <v>54450</v>
      </c>
    </row>
    <row r="27" spans="1:6" ht="140.25" customHeight="1" x14ac:dyDescent="0.25">
      <c r="A27" s="176">
        <v>45285</v>
      </c>
      <c r="B27" s="183"/>
      <c r="C27" s="175" t="s">
        <v>710</v>
      </c>
      <c r="D27" s="200">
        <v>44950</v>
      </c>
      <c r="E27" s="175">
        <v>1.8</v>
      </c>
      <c r="F27" s="212">
        <f t="shared" si="0"/>
        <v>80910</v>
      </c>
    </row>
    <row r="28" spans="1:6" ht="140.25" customHeight="1" x14ac:dyDescent="0.25">
      <c r="A28" s="176">
        <v>27730</v>
      </c>
      <c r="B28" s="183"/>
      <c r="C28" s="175" t="s">
        <v>711</v>
      </c>
      <c r="D28" s="191">
        <v>6850</v>
      </c>
      <c r="E28" s="175">
        <v>1.8</v>
      </c>
      <c r="F28" s="212">
        <f t="shared" si="0"/>
        <v>12330</v>
      </c>
    </row>
    <row r="29" spans="1:6" ht="165" x14ac:dyDescent="0.25">
      <c r="A29" s="176">
        <v>2588</v>
      </c>
      <c r="B29" s="183"/>
      <c r="C29" s="175" t="s">
        <v>712</v>
      </c>
      <c r="D29" s="191">
        <v>6600</v>
      </c>
      <c r="E29" s="175">
        <v>1.8</v>
      </c>
      <c r="F29" s="212">
        <f t="shared" si="0"/>
        <v>11880</v>
      </c>
    </row>
    <row r="30" spans="1:6" ht="140.25" customHeight="1" x14ac:dyDescent="0.25">
      <c r="A30" s="176">
        <v>27687</v>
      </c>
      <c r="B30" s="183"/>
      <c r="C30" s="175" t="s">
        <v>713</v>
      </c>
      <c r="D30" s="191">
        <v>17350</v>
      </c>
      <c r="E30" s="175">
        <v>1.8</v>
      </c>
      <c r="F30" s="212">
        <f t="shared" si="0"/>
        <v>31230</v>
      </c>
    </row>
    <row r="31" spans="1:6" ht="140.25" customHeight="1" x14ac:dyDescent="0.25">
      <c r="A31" s="176">
        <v>22912</v>
      </c>
      <c r="B31" s="183"/>
      <c r="C31" s="175" t="s">
        <v>714</v>
      </c>
      <c r="D31" s="191">
        <v>21350</v>
      </c>
      <c r="E31" s="175">
        <v>1.8</v>
      </c>
      <c r="F31" s="212">
        <f t="shared" si="0"/>
        <v>38430</v>
      </c>
    </row>
    <row r="32" spans="1:6" ht="164.25" customHeight="1" x14ac:dyDescent="0.25">
      <c r="A32" s="175" t="s">
        <v>715</v>
      </c>
      <c r="B32" s="183"/>
      <c r="C32" s="175" t="s">
        <v>716</v>
      </c>
      <c r="D32" s="191">
        <v>17050</v>
      </c>
      <c r="E32" s="175">
        <v>1.8</v>
      </c>
      <c r="F32" s="212">
        <f t="shared" si="0"/>
        <v>30690</v>
      </c>
    </row>
    <row r="33" spans="1:6" ht="129" customHeight="1" x14ac:dyDescent="0.25">
      <c r="A33" s="175" t="s">
        <v>717</v>
      </c>
      <c r="B33" s="183"/>
      <c r="C33" s="175" t="s">
        <v>718</v>
      </c>
      <c r="D33" s="189">
        <v>1600</v>
      </c>
      <c r="E33" s="175">
        <v>1.8</v>
      </c>
      <c r="F33" s="212">
        <f t="shared" si="0"/>
        <v>2880</v>
      </c>
    </row>
    <row r="34" spans="1:6" ht="129" customHeight="1" x14ac:dyDescent="0.25">
      <c r="A34" s="175" t="s">
        <v>719</v>
      </c>
      <c r="B34" s="183"/>
      <c r="C34" s="175" t="s">
        <v>720</v>
      </c>
      <c r="D34" s="189">
        <v>4200</v>
      </c>
      <c r="E34" s="175">
        <v>1.8</v>
      </c>
      <c r="F34" s="212">
        <f t="shared" si="0"/>
        <v>7560</v>
      </c>
    </row>
    <row r="35" spans="1:6" ht="129" customHeight="1" x14ac:dyDescent="0.25">
      <c r="A35" s="175" t="s">
        <v>721</v>
      </c>
      <c r="B35" s="183"/>
      <c r="C35" s="175" t="s">
        <v>722</v>
      </c>
      <c r="D35" s="189">
        <v>5200</v>
      </c>
      <c r="E35" s="175">
        <v>1.8</v>
      </c>
      <c r="F35" s="212">
        <f t="shared" si="0"/>
        <v>9360</v>
      </c>
    </row>
    <row r="36" spans="1:6" ht="129" customHeight="1" x14ac:dyDescent="0.25">
      <c r="A36" s="175" t="s">
        <v>723</v>
      </c>
      <c r="B36" s="183"/>
      <c r="C36" s="175" t="s">
        <v>724</v>
      </c>
      <c r="D36" s="189">
        <v>7400</v>
      </c>
      <c r="E36" s="175">
        <v>1.8</v>
      </c>
      <c r="F36" s="212">
        <f t="shared" si="0"/>
        <v>13320</v>
      </c>
    </row>
    <row r="37" spans="1:6" ht="129" customHeight="1" x14ac:dyDescent="0.25">
      <c r="A37" s="175" t="s">
        <v>725</v>
      </c>
      <c r="B37" s="183"/>
      <c r="C37" s="175" t="s">
        <v>726</v>
      </c>
      <c r="D37" s="189">
        <v>11490</v>
      </c>
      <c r="E37" s="175">
        <v>1.8</v>
      </c>
      <c r="F37" s="212">
        <f t="shared" si="0"/>
        <v>20682</v>
      </c>
    </row>
    <row r="38" spans="1:6" ht="129" customHeight="1" x14ac:dyDescent="0.25">
      <c r="A38" s="175" t="s">
        <v>727</v>
      </c>
      <c r="B38" s="183"/>
      <c r="C38" s="175" t="s">
        <v>728</v>
      </c>
      <c r="D38" s="189">
        <v>3490</v>
      </c>
      <c r="E38" s="175">
        <v>1.8</v>
      </c>
      <c r="F38" s="212">
        <f t="shared" si="0"/>
        <v>6282</v>
      </c>
    </row>
  </sheetData>
  <mergeCells count="2">
    <mergeCell ref="A1:F1"/>
    <mergeCell ref="G1:I1"/>
  </mergeCells>
  <hyperlinks>
    <hyperlink ref="G1:I1" location="ОГЛАВЛЕНИЕ!A1" display="Вернуться к оглавлению" xr:uid="{CB6AB26F-F406-4A0E-9F6F-3D0707C5C21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C4A3D-B3B1-4B68-9C1C-4192561B3379}">
  <sheetPr codeName="Лист10">
    <tabColor rgb="FFFFC000"/>
  </sheetPr>
  <dimension ref="A1:I39"/>
  <sheetViews>
    <sheetView zoomScaleNormal="100" workbookViewId="0">
      <pane ySplit="2" topLeftCell="A3" activePane="bottomLeft" state="frozen"/>
      <selection activeCell="B4" sqref="B4"/>
      <selection pane="bottomLeft" activeCell="G1" sqref="G1:I1"/>
    </sheetView>
  </sheetViews>
  <sheetFormatPr defaultColWidth="9.140625" defaultRowHeight="15" x14ac:dyDescent="0.25"/>
  <cols>
    <col min="1" max="1" width="29.42578125" style="174" customWidth="1"/>
    <col min="2" max="2" width="41.85546875" style="174" customWidth="1"/>
    <col min="3" max="3" width="38.140625" style="174" customWidth="1"/>
    <col min="4" max="4" width="17.85546875" style="186" hidden="1" customWidth="1"/>
    <col min="5" max="5" width="38.140625" style="174" hidden="1" customWidth="1"/>
    <col min="6" max="6" width="15.85546875" style="174" customWidth="1"/>
    <col min="7" max="7" width="4.85546875" style="174" customWidth="1"/>
    <col min="8" max="8" width="5.7109375" style="174" customWidth="1"/>
    <col min="9" max="9" width="15.42578125" style="174" customWidth="1"/>
    <col min="10" max="10" width="5.28515625" style="174" customWidth="1"/>
    <col min="11" max="11" width="5.140625" style="174" customWidth="1"/>
    <col min="12" max="12" width="5.28515625" style="174" customWidth="1"/>
    <col min="13" max="19" width="13.7109375" style="174" customWidth="1"/>
    <col min="20" max="16384" width="9.140625" style="174"/>
  </cols>
  <sheetData>
    <row r="1" spans="1:9" ht="20.25" x14ac:dyDescent="0.25">
      <c r="A1" s="380" t="s">
        <v>729</v>
      </c>
      <c r="B1" s="380"/>
      <c r="C1" s="380"/>
      <c r="D1" s="380"/>
      <c r="E1" s="380"/>
      <c r="F1" s="380"/>
      <c r="G1" s="378" t="s">
        <v>783</v>
      </c>
      <c r="H1" s="378"/>
      <c r="I1" s="378"/>
    </row>
    <row r="2" spans="1:9" ht="15" customHeight="1" x14ac:dyDescent="0.25">
      <c r="A2" s="188" t="s">
        <v>391</v>
      </c>
      <c r="B2" s="188" t="s">
        <v>392</v>
      </c>
      <c r="C2" s="188" t="s">
        <v>393</v>
      </c>
      <c r="D2" s="206" t="s">
        <v>781</v>
      </c>
      <c r="E2" s="188"/>
      <c r="F2" s="188"/>
    </row>
    <row r="3" spans="1:9" ht="140.25" customHeight="1" x14ac:dyDescent="0.25">
      <c r="A3" s="175" t="s">
        <v>730</v>
      </c>
      <c r="B3" s="183"/>
      <c r="C3" s="175" t="s">
        <v>731</v>
      </c>
      <c r="D3" s="191">
        <v>9500</v>
      </c>
      <c r="E3" s="175">
        <v>1.8</v>
      </c>
      <c r="F3" s="212">
        <f>D3*E3</f>
        <v>17100</v>
      </c>
    </row>
    <row r="4" spans="1:9" ht="140.25" customHeight="1" x14ac:dyDescent="0.25">
      <c r="A4" s="175" t="s">
        <v>732</v>
      </c>
      <c r="B4" s="183"/>
      <c r="C4" s="175" t="s">
        <v>733</v>
      </c>
      <c r="D4" s="191">
        <v>13000</v>
      </c>
      <c r="E4" s="175">
        <v>1.8</v>
      </c>
      <c r="F4" s="212">
        <f t="shared" ref="F4:F39" si="0">D4*E4</f>
        <v>23400</v>
      </c>
    </row>
    <row r="5" spans="1:9" ht="140.25" customHeight="1" x14ac:dyDescent="0.25">
      <c r="A5" s="176">
        <v>48861</v>
      </c>
      <c r="B5" s="183"/>
      <c r="C5" s="175" t="s">
        <v>734</v>
      </c>
      <c r="D5" s="191">
        <v>22000</v>
      </c>
      <c r="E5" s="175">
        <v>1.8</v>
      </c>
      <c r="F5" s="212">
        <f t="shared" si="0"/>
        <v>39600</v>
      </c>
    </row>
    <row r="6" spans="1:9" ht="140.25" customHeight="1" x14ac:dyDescent="0.25">
      <c r="A6" s="176">
        <v>22611</v>
      </c>
      <c r="B6" s="183"/>
      <c r="C6" s="175" t="s">
        <v>735</v>
      </c>
      <c r="D6" s="191">
        <v>8200</v>
      </c>
      <c r="E6" s="175">
        <v>1.8</v>
      </c>
      <c r="F6" s="212">
        <f t="shared" si="0"/>
        <v>14760</v>
      </c>
    </row>
    <row r="7" spans="1:9" ht="195" x14ac:dyDescent="0.25">
      <c r="A7" s="176">
        <v>32943</v>
      </c>
      <c r="B7" s="183"/>
      <c r="C7" s="175" t="s">
        <v>736</v>
      </c>
      <c r="D7" s="191">
        <v>8600</v>
      </c>
      <c r="E7" s="175">
        <v>1.8</v>
      </c>
      <c r="F7" s="212">
        <f t="shared" si="0"/>
        <v>15480</v>
      </c>
    </row>
    <row r="8" spans="1:9" ht="150.6" customHeight="1" x14ac:dyDescent="0.25">
      <c r="A8" s="176">
        <v>25030</v>
      </c>
      <c r="B8" s="183"/>
      <c r="C8" s="175" t="s">
        <v>737</v>
      </c>
      <c r="D8" s="200">
        <v>14500</v>
      </c>
      <c r="E8" s="175">
        <v>1.8</v>
      </c>
      <c r="F8" s="212">
        <f t="shared" si="0"/>
        <v>26100</v>
      </c>
    </row>
    <row r="9" spans="1:9" ht="150.6" customHeight="1" x14ac:dyDescent="0.25">
      <c r="A9" s="175">
        <v>50206</v>
      </c>
      <c r="B9" s="183"/>
      <c r="C9" s="178" t="s">
        <v>738</v>
      </c>
      <c r="D9" s="200">
        <v>9050</v>
      </c>
      <c r="E9" s="175">
        <v>1.8</v>
      </c>
      <c r="F9" s="212">
        <f t="shared" si="0"/>
        <v>16290</v>
      </c>
    </row>
    <row r="10" spans="1:9" ht="140.25" customHeight="1" x14ac:dyDescent="0.25">
      <c r="A10" s="175" t="s">
        <v>739</v>
      </c>
      <c r="B10" s="183"/>
      <c r="C10" s="175" t="s">
        <v>740</v>
      </c>
      <c r="D10" s="191">
        <v>13950</v>
      </c>
      <c r="E10" s="175">
        <v>1.8</v>
      </c>
      <c r="F10" s="212">
        <f t="shared" si="0"/>
        <v>25110</v>
      </c>
    </row>
    <row r="11" spans="1:9" ht="140.25" customHeight="1" x14ac:dyDescent="0.25">
      <c r="A11" s="176">
        <v>7672</v>
      </c>
      <c r="B11" s="183"/>
      <c r="C11" s="175" t="s">
        <v>741</v>
      </c>
      <c r="D11" s="191">
        <v>6200</v>
      </c>
      <c r="E11" s="175">
        <v>1.8</v>
      </c>
      <c r="F11" s="212">
        <f t="shared" si="0"/>
        <v>11160</v>
      </c>
    </row>
    <row r="12" spans="1:9" ht="140.25" customHeight="1" x14ac:dyDescent="0.25">
      <c r="A12" s="175" t="s">
        <v>742</v>
      </c>
      <c r="B12" s="183"/>
      <c r="C12" s="175" t="s">
        <v>743</v>
      </c>
      <c r="D12" s="191">
        <v>3050</v>
      </c>
      <c r="E12" s="175">
        <v>1.8</v>
      </c>
      <c r="F12" s="212">
        <f t="shared" si="0"/>
        <v>5490</v>
      </c>
    </row>
    <row r="13" spans="1:9" ht="140.25" customHeight="1" x14ac:dyDescent="0.25">
      <c r="A13" s="176">
        <v>7738</v>
      </c>
      <c r="B13" s="183"/>
      <c r="C13" s="175" t="s">
        <v>744</v>
      </c>
      <c r="D13" s="191">
        <v>8900</v>
      </c>
      <c r="E13" s="175">
        <v>1.8</v>
      </c>
      <c r="F13" s="212">
        <f t="shared" si="0"/>
        <v>16020</v>
      </c>
    </row>
    <row r="14" spans="1:9" ht="140.25" customHeight="1" x14ac:dyDescent="0.25">
      <c r="A14" s="176">
        <v>9802</v>
      </c>
      <c r="B14" s="183"/>
      <c r="C14" s="175" t="s">
        <v>745</v>
      </c>
      <c r="D14" s="191">
        <v>7800</v>
      </c>
      <c r="E14" s="175">
        <v>1.8</v>
      </c>
      <c r="F14" s="212">
        <f t="shared" si="0"/>
        <v>14040</v>
      </c>
    </row>
    <row r="15" spans="1:9" ht="210" x14ac:dyDescent="0.25">
      <c r="A15" s="176">
        <v>24932</v>
      </c>
      <c r="B15" s="183"/>
      <c r="C15" s="175" t="s">
        <v>746</v>
      </c>
      <c r="D15" s="191">
        <v>10050</v>
      </c>
      <c r="E15" s="175">
        <v>1.8</v>
      </c>
      <c r="F15" s="212">
        <f t="shared" si="0"/>
        <v>18090</v>
      </c>
    </row>
    <row r="16" spans="1:9" ht="140.25" customHeight="1" x14ac:dyDescent="0.25">
      <c r="A16" s="176">
        <v>32932</v>
      </c>
      <c r="B16" s="183"/>
      <c r="C16" s="175" t="s">
        <v>747</v>
      </c>
      <c r="D16" s="191">
        <v>15000</v>
      </c>
      <c r="E16" s="175">
        <v>1.8</v>
      </c>
      <c r="F16" s="212">
        <f t="shared" si="0"/>
        <v>27000</v>
      </c>
    </row>
    <row r="17" spans="1:6" ht="140.25" customHeight="1" x14ac:dyDescent="0.25">
      <c r="A17" s="176">
        <v>32952</v>
      </c>
      <c r="B17" s="183"/>
      <c r="C17" s="178" t="s">
        <v>748</v>
      </c>
      <c r="D17" s="200">
        <v>10100</v>
      </c>
      <c r="E17" s="175">
        <v>1.8</v>
      </c>
      <c r="F17" s="212">
        <f t="shared" si="0"/>
        <v>18180</v>
      </c>
    </row>
    <row r="18" spans="1:6" ht="140.25" customHeight="1" x14ac:dyDescent="0.25">
      <c r="A18" s="176">
        <v>32942</v>
      </c>
      <c r="B18" s="183"/>
      <c r="C18" s="175" t="s">
        <v>749</v>
      </c>
      <c r="D18" s="200">
        <v>13100</v>
      </c>
      <c r="E18" s="175">
        <v>1.8</v>
      </c>
      <c r="F18" s="212">
        <f t="shared" si="0"/>
        <v>23580</v>
      </c>
    </row>
    <row r="19" spans="1:6" ht="140.25" customHeight="1" x14ac:dyDescent="0.25">
      <c r="A19" s="176">
        <v>48981</v>
      </c>
      <c r="B19" s="183"/>
      <c r="C19" s="175" t="s">
        <v>750</v>
      </c>
      <c r="D19" s="200">
        <v>14600</v>
      </c>
      <c r="E19" s="175">
        <v>1.8</v>
      </c>
      <c r="F19" s="212">
        <f t="shared" si="0"/>
        <v>26280</v>
      </c>
    </row>
    <row r="20" spans="1:6" ht="140.25" customHeight="1" x14ac:dyDescent="0.25">
      <c r="A20" s="175" t="s">
        <v>751</v>
      </c>
      <c r="B20" s="183"/>
      <c r="C20" s="175" t="s">
        <v>752</v>
      </c>
      <c r="D20" s="200">
        <v>4550</v>
      </c>
      <c r="E20" s="175">
        <v>1.8</v>
      </c>
      <c r="F20" s="212">
        <f t="shared" si="0"/>
        <v>8190</v>
      </c>
    </row>
    <row r="21" spans="1:6" ht="140.25" customHeight="1" x14ac:dyDescent="0.25">
      <c r="A21" s="176">
        <v>48980</v>
      </c>
      <c r="B21" s="183"/>
      <c r="C21" s="175" t="s">
        <v>753</v>
      </c>
      <c r="D21" s="200">
        <v>5110</v>
      </c>
      <c r="E21" s="175">
        <v>1.8</v>
      </c>
      <c r="F21" s="212">
        <f t="shared" si="0"/>
        <v>9198</v>
      </c>
    </row>
    <row r="22" spans="1:6" ht="180" x14ac:dyDescent="0.25">
      <c r="A22" s="176">
        <v>17911</v>
      </c>
      <c r="B22" s="183"/>
      <c r="C22" s="175" t="s">
        <v>754</v>
      </c>
      <c r="D22" s="200">
        <v>5750</v>
      </c>
      <c r="E22" s="175">
        <v>1.8</v>
      </c>
      <c r="F22" s="212">
        <f t="shared" si="0"/>
        <v>10350</v>
      </c>
    </row>
    <row r="23" spans="1:6" ht="156" customHeight="1" x14ac:dyDescent="0.25">
      <c r="A23" s="176">
        <v>32931</v>
      </c>
      <c r="B23" s="183"/>
      <c r="C23" s="175" t="s">
        <v>755</v>
      </c>
      <c r="D23" s="200">
        <v>8650</v>
      </c>
      <c r="E23" s="175">
        <v>1.8</v>
      </c>
      <c r="F23" s="212">
        <f t="shared" si="0"/>
        <v>15570</v>
      </c>
    </row>
    <row r="24" spans="1:6" ht="140.25" customHeight="1" x14ac:dyDescent="0.25">
      <c r="A24" s="175" t="s">
        <v>756</v>
      </c>
      <c r="B24" s="183"/>
      <c r="C24" s="175" t="s">
        <v>757</v>
      </c>
      <c r="D24" s="200">
        <v>2250</v>
      </c>
      <c r="E24" s="175">
        <v>1.8</v>
      </c>
      <c r="F24" s="212">
        <f t="shared" si="0"/>
        <v>4050</v>
      </c>
    </row>
    <row r="25" spans="1:6" ht="140.25" customHeight="1" x14ac:dyDescent="0.25">
      <c r="A25" s="176">
        <v>32039</v>
      </c>
      <c r="B25" s="183"/>
      <c r="C25" s="175" t="s">
        <v>758</v>
      </c>
      <c r="D25" s="200">
        <v>8050</v>
      </c>
      <c r="E25" s="175">
        <v>1.8</v>
      </c>
      <c r="F25" s="212">
        <f t="shared" si="0"/>
        <v>14490</v>
      </c>
    </row>
    <row r="26" spans="1:6" ht="140.25" customHeight="1" x14ac:dyDescent="0.25">
      <c r="A26" s="176">
        <v>37839</v>
      </c>
      <c r="B26" s="183"/>
      <c r="C26" s="175" t="s">
        <v>759</v>
      </c>
      <c r="D26" s="200">
        <v>10300</v>
      </c>
      <c r="E26" s="175">
        <v>1.8</v>
      </c>
      <c r="F26" s="212">
        <f t="shared" si="0"/>
        <v>18540</v>
      </c>
    </row>
    <row r="27" spans="1:6" ht="140.25" customHeight="1" x14ac:dyDescent="0.25">
      <c r="A27" s="175" t="s">
        <v>760</v>
      </c>
      <c r="B27" s="183"/>
      <c r="C27" s="175" t="s">
        <v>761</v>
      </c>
      <c r="D27" s="191">
        <v>4150</v>
      </c>
      <c r="E27" s="175">
        <v>1.8</v>
      </c>
      <c r="F27" s="212">
        <f t="shared" si="0"/>
        <v>7470</v>
      </c>
    </row>
    <row r="28" spans="1:6" ht="140.25" customHeight="1" x14ac:dyDescent="0.25">
      <c r="A28" s="175" t="s">
        <v>762</v>
      </c>
      <c r="B28" s="183"/>
      <c r="C28" s="175" t="s">
        <v>763</v>
      </c>
      <c r="D28" s="191">
        <v>6450</v>
      </c>
      <c r="E28" s="175">
        <v>1.8</v>
      </c>
      <c r="F28" s="212">
        <f t="shared" si="0"/>
        <v>11610</v>
      </c>
    </row>
    <row r="29" spans="1:6" ht="140.25" customHeight="1" x14ac:dyDescent="0.25">
      <c r="A29" s="175" t="s">
        <v>764</v>
      </c>
      <c r="B29" s="183"/>
      <c r="C29" s="175" t="s">
        <v>765</v>
      </c>
      <c r="D29" s="191">
        <v>6150</v>
      </c>
      <c r="E29" s="175">
        <v>1.8</v>
      </c>
      <c r="F29" s="212">
        <f t="shared" si="0"/>
        <v>11070</v>
      </c>
    </row>
    <row r="30" spans="1:6" ht="140.25" customHeight="1" x14ac:dyDescent="0.25">
      <c r="A30" s="175" t="s">
        <v>766</v>
      </c>
      <c r="B30" s="183"/>
      <c r="C30" s="175" t="s">
        <v>767</v>
      </c>
      <c r="D30" s="191">
        <v>6050</v>
      </c>
      <c r="E30" s="175">
        <v>1.8</v>
      </c>
      <c r="F30" s="212">
        <f t="shared" si="0"/>
        <v>10890</v>
      </c>
    </row>
    <row r="31" spans="1:6" ht="153.75" customHeight="1" x14ac:dyDescent="0.25">
      <c r="A31" s="175" t="s">
        <v>768</v>
      </c>
      <c r="B31" s="183"/>
      <c r="C31" s="175" t="s">
        <v>769</v>
      </c>
      <c r="D31" s="191">
        <v>11990</v>
      </c>
      <c r="E31" s="175">
        <v>1.8</v>
      </c>
      <c r="F31" s="212">
        <f t="shared" si="0"/>
        <v>21582</v>
      </c>
    </row>
    <row r="32" spans="1:6" ht="285" x14ac:dyDescent="0.25">
      <c r="A32" s="190" t="s">
        <v>770</v>
      </c>
      <c r="B32" s="176"/>
      <c r="C32" s="175" t="s">
        <v>771</v>
      </c>
      <c r="D32" s="191">
        <v>18800</v>
      </c>
      <c r="E32" s="175">
        <v>1.8</v>
      </c>
      <c r="F32" s="212">
        <f t="shared" si="0"/>
        <v>33840</v>
      </c>
    </row>
    <row r="33" spans="1:6" ht="175.5" customHeight="1" x14ac:dyDescent="0.25">
      <c r="A33" s="176">
        <v>9225</v>
      </c>
      <c r="B33" s="183"/>
      <c r="C33" s="175" t="s">
        <v>772</v>
      </c>
      <c r="D33" s="191">
        <v>4250</v>
      </c>
      <c r="E33" s="175">
        <v>1.8</v>
      </c>
      <c r="F33" s="212">
        <f t="shared" si="0"/>
        <v>7650</v>
      </c>
    </row>
    <row r="34" spans="1:6" ht="166.5" customHeight="1" x14ac:dyDescent="0.25">
      <c r="A34" s="176">
        <v>22617</v>
      </c>
      <c r="B34" s="183"/>
      <c r="C34" s="175" t="s">
        <v>773</v>
      </c>
      <c r="D34" s="191">
        <v>4850</v>
      </c>
      <c r="E34" s="175">
        <v>1.8</v>
      </c>
      <c r="F34" s="212">
        <f t="shared" si="0"/>
        <v>8730</v>
      </c>
    </row>
    <row r="35" spans="1:6" ht="140.25" customHeight="1" x14ac:dyDescent="0.25">
      <c r="A35" s="176">
        <v>24245</v>
      </c>
      <c r="B35" s="183"/>
      <c r="C35" s="175" t="s">
        <v>774</v>
      </c>
      <c r="D35" s="191">
        <v>6450</v>
      </c>
      <c r="E35" s="175">
        <v>1.8</v>
      </c>
      <c r="F35" s="212">
        <f t="shared" si="0"/>
        <v>11610</v>
      </c>
    </row>
    <row r="36" spans="1:6" ht="140.25" customHeight="1" x14ac:dyDescent="0.25">
      <c r="A36" s="175">
        <v>38380</v>
      </c>
      <c r="B36" s="183"/>
      <c r="C36" s="175" t="s">
        <v>775</v>
      </c>
      <c r="D36" s="191">
        <v>12250</v>
      </c>
      <c r="E36" s="175">
        <v>1.8</v>
      </c>
      <c r="F36" s="212">
        <f t="shared" si="0"/>
        <v>22050</v>
      </c>
    </row>
    <row r="37" spans="1:6" ht="140.25" customHeight="1" x14ac:dyDescent="0.25">
      <c r="A37" s="176">
        <v>29326</v>
      </c>
      <c r="B37" s="183"/>
      <c r="C37" s="175" t="s">
        <v>776</v>
      </c>
      <c r="D37" s="191">
        <v>19000</v>
      </c>
      <c r="E37" s="175">
        <v>1.8</v>
      </c>
      <c r="F37" s="212">
        <f t="shared" si="0"/>
        <v>34200</v>
      </c>
    </row>
    <row r="38" spans="1:6" ht="140.25" customHeight="1" x14ac:dyDescent="0.25">
      <c r="A38" s="176">
        <v>49996</v>
      </c>
      <c r="B38" s="183"/>
      <c r="C38" s="178" t="s">
        <v>777</v>
      </c>
      <c r="D38" s="200">
        <v>6100</v>
      </c>
      <c r="E38" s="175">
        <v>1.8</v>
      </c>
      <c r="F38" s="212">
        <f t="shared" si="0"/>
        <v>10980</v>
      </c>
    </row>
    <row r="39" spans="1:6" ht="140.25" customHeight="1" x14ac:dyDescent="0.25">
      <c r="A39" s="175" t="s">
        <v>778</v>
      </c>
      <c r="B39" s="183"/>
      <c r="C39" s="175" t="s">
        <v>779</v>
      </c>
      <c r="D39" s="191">
        <v>14900</v>
      </c>
      <c r="E39" s="175">
        <v>1.8</v>
      </c>
      <c r="F39" s="212">
        <f t="shared" si="0"/>
        <v>26820</v>
      </c>
    </row>
  </sheetData>
  <dataConsolidate/>
  <mergeCells count="2">
    <mergeCell ref="A1:F1"/>
    <mergeCell ref="G1:I1"/>
  </mergeCells>
  <hyperlinks>
    <hyperlink ref="G1:I1" location="ОГЛАВЛЕНИЕ!A1" display="Вернуться к оглавлению" xr:uid="{BB3E5130-FA19-4525-9CF8-037056A7B9E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73EAE-4069-4692-AF91-307BA2BFD50F}">
  <dimension ref="A1"/>
  <sheetViews>
    <sheetView workbookViewId="0">
      <selection activeCell="V32" sqref="V32"/>
    </sheetView>
  </sheetViews>
  <sheetFormatPr defaultRowHeight="15" x14ac:dyDescent="0.25"/>
  <cols>
    <col min="1" max="16384" width="9.140625" style="180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5353F-9365-41D4-B088-614A4F7FA0AA}">
  <sheetPr>
    <tabColor rgb="FF92D050"/>
    <pageSetUpPr fitToPage="1"/>
  </sheetPr>
  <dimension ref="A1:BS256"/>
  <sheetViews>
    <sheetView showGridLines="0" view="pageBreakPreview" zoomScaleSheetLayoutView="100" workbookViewId="0">
      <selection activeCell="BJ1" sqref="BJ1:BR1"/>
    </sheetView>
  </sheetViews>
  <sheetFormatPr defaultColWidth="9.140625" defaultRowHeight="8.25" x14ac:dyDescent="0.25"/>
  <cols>
    <col min="1" max="1" width="0.28515625" style="46" customWidth="1"/>
    <col min="2" max="12" width="1.7109375" style="46" customWidth="1"/>
    <col min="13" max="14" width="2.7109375" style="46" customWidth="1"/>
    <col min="15" max="15" width="0.28515625" style="46" customWidth="1"/>
    <col min="16" max="26" width="1.7109375" style="46" customWidth="1"/>
    <col min="27" max="27" width="2.42578125" style="46" customWidth="1"/>
    <col min="28" max="28" width="3.28515625" style="46" customWidth="1"/>
    <col min="29" max="29" width="0.28515625" style="46" customWidth="1"/>
    <col min="30" max="38" width="1.7109375" style="46" customWidth="1"/>
    <col min="39" max="39" width="3" style="46" customWidth="1"/>
    <col min="40" max="41" width="2.140625" style="46" customWidth="1"/>
    <col min="42" max="42" width="2.5703125" style="46" customWidth="1"/>
    <col min="43" max="43" width="0.28515625" style="46" customWidth="1"/>
    <col min="44" max="52" width="1.7109375" style="46" customWidth="1"/>
    <col min="53" max="53" width="3.140625" style="46" customWidth="1"/>
    <col min="54" max="55" width="1.7109375" style="46" customWidth="1"/>
    <col min="56" max="56" width="3.28515625" style="46" customWidth="1"/>
    <col min="57" max="57" width="0.28515625" style="46" customWidth="1"/>
    <col min="58" max="66" width="1.7109375" style="46" customWidth="1"/>
    <col min="67" max="67" width="3" style="46" customWidth="1"/>
    <col min="68" max="69" width="1.7109375" style="46" customWidth="1"/>
    <col min="70" max="70" width="3.28515625" style="46" customWidth="1"/>
    <col min="71" max="71" width="0.28515625" style="46" customWidth="1"/>
    <col min="72" max="72" width="9.140625" style="46" customWidth="1"/>
    <col min="73" max="16384" width="9.140625" style="46"/>
  </cols>
  <sheetData>
    <row r="1" spans="1:71" s="6" customFormat="1" ht="90.95" customHeight="1" x14ac:dyDescent="0.25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171"/>
      <c r="BE1" s="170"/>
      <c r="BF1" s="170"/>
      <c r="BG1" s="170"/>
      <c r="BH1" s="170"/>
      <c r="BI1" s="170"/>
      <c r="BJ1" s="235" t="s">
        <v>0</v>
      </c>
      <c r="BK1" s="236"/>
      <c r="BL1" s="236"/>
      <c r="BM1" s="236"/>
      <c r="BN1" s="236"/>
      <c r="BO1" s="236"/>
      <c r="BP1" s="236"/>
      <c r="BQ1" s="236"/>
      <c r="BR1" s="237"/>
    </row>
    <row r="2" spans="1:71" s="6" customFormat="1" ht="12" x14ac:dyDescent="0.25">
      <c r="A2" s="232" t="s">
        <v>14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3"/>
      <c r="BD2" s="233"/>
      <c r="BE2" s="233"/>
      <c r="BF2" s="233"/>
      <c r="BG2" s="233"/>
      <c r="BH2" s="233"/>
      <c r="BI2" s="233"/>
      <c r="BJ2" s="233"/>
      <c r="BK2" s="233"/>
      <c r="BL2" s="233"/>
      <c r="BM2" s="233"/>
      <c r="BN2" s="233"/>
      <c r="BO2" s="233"/>
      <c r="BP2" s="233"/>
      <c r="BQ2" s="233"/>
      <c r="BR2" s="234"/>
    </row>
    <row r="3" spans="1:71" ht="18" customHeight="1" x14ac:dyDescent="0.25">
      <c r="A3" s="169"/>
      <c r="B3" s="277">
        <v>1.9</v>
      </c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166"/>
      <c r="P3" s="279" t="s">
        <v>204</v>
      </c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279"/>
      <c r="BQ3" s="279"/>
      <c r="BR3" s="279"/>
      <c r="BS3" s="47"/>
    </row>
    <row r="4" spans="1:71" hidden="1" x14ac:dyDescent="0.25">
      <c r="A4" s="48"/>
      <c r="BS4" s="47"/>
    </row>
    <row r="5" spans="1:71" hidden="1" x14ac:dyDescent="0.25">
      <c r="A5" s="48"/>
      <c r="BS5" s="47"/>
    </row>
    <row r="6" spans="1:71" s="50" customFormat="1" ht="2.1" customHeight="1" x14ac:dyDescent="0.25">
      <c r="A6" s="49"/>
      <c r="N6" s="51"/>
      <c r="O6" s="51"/>
      <c r="P6" s="51"/>
      <c r="Q6" s="51"/>
      <c r="Y6" s="51"/>
      <c r="Z6" s="51"/>
      <c r="AA6" s="51"/>
      <c r="AB6" s="51"/>
      <c r="AY6" s="51"/>
      <c r="AZ6" s="51"/>
      <c r="BA6" s="51"/>
      <c r="BB6" s="51"/>
      <c r="BC6" s="51"/>
      <c r="BD6" s="51"/>
      <c r="BE6" s="51"/>
      <c r="BS6" s="52"/>
    </row>
    <row r="7" spans="1:71" s="50" customFormat="1" ht="18" customHeight="1" x14ac:dyDescent="0.25">
      <c r="A7" s="280" t="s">
        <v>16</v>
      </c>
      <c r="B7" s="280"/>
      <c r="C7" s="280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0"/>
      <c r="BR7" s="280"/>
      <c r="BS7" s="52"/>
    </row>
    <row r="8" spans="1:71" s="5" customFormat="1" ht="9" customHeight="1" x14ac:dyDescent="0.25">
      <c r="A8" s="53"/>
      <c r="B8" s="281" t="s">
        <v>205</v>
      </c>
      <c r="C8" s="282"/>
      <c r="D8" s="282"/>
      <c r="E8" s="283"/>
      <c r="F8" s="252"/>
      <c r="G8" s="253"/>
      <c r="H8" s="253"/>
      <c r="I8" s="253"/>
      <c r="J8" s="253"/>
      <c r="K8" s="253"/>
      <c r="L8" s="253"/>
      <c r="M8" s="253"/>
      <c r="N8" s="254"/>
      <c r="O8" s="125"/>
      <c r="P8" s="281" t="s">
        <v>206</v>
      </c>
      <c r="Q8" s="282"/>
      <c r="R8" s="282"/>
      <c r="S8" s="283"/>
      <c r="T8" s="125"/>
      <c r="U8" s="125"/>
      <c r="V8" s="125"/>
      <c r="W8" s="125"/>
      <c r="X8" s="125"/>
      <c r="Y8" s="125"/>
      <c r="Z8" s="125"/>
      <c r="AA8" s="125"/>
      <c r="AB8" s="126"/>
      <c r="AC8" s="125"/>
      <c r="AD8" s="281" t="s">
        <v>207</v>
      </c>
      <c r="AE8" s="282"/>
      <c r="AF8" s="282"/>
      <c r="AG8" s="283"/>
      <c r="AH8" s="125"/>
      <c r="AI8" s="125"/>
      <c r="AJ8" s="125"/>
      <c r="AK8" s="125"/>
      <c r="AL8" s="125"/>
      <c r="AM8" s="125"/>
      <c r="AN8" s="125"/>
      <c r="AO8" s="125"/>
      <c r="AP8" s="126"/>
      <c r="AQ8" s="125"/>
      <c r="AR8" s="281" t="s">
        <v>208</v>
      </c>
      <c r="AS8" s="282"/>
      <c r="AT8" s="282"/>
      <c r="AU8" s="283"/>
      <c r="AV8" s="284" t="s">
        <v>209</v>
      </c>
      <c r="AW8" s="285"/>
      <c r="AX8" s="285"/>
      <c r="AY8" s="285"/>
      <c r="AZ8" s="285"/>
      <c r="BA8" s="285"/>
      <c r="BB8" s="285"/>
      <c r="BC8" s="285"/>
      <c r="BD8" s="286"/>
      <c r="BE8" s="125"/>
      <c r="BF8" s="281" t="s">
        <v>210</v>
      </c>
      <c r="BG8" s="282"/>
      <c r="BH8" s="282"/>
      <c r="BI8" s="283"/>
      <c r="BJ8" s="125"/>
      <c r="BK8" s="125"/>
      <c r="BL8" s="125"/>
      <c r="BM8" s="125"/>
      <c r="BN8" s="125"/>
      <c r="BO8" s="125"/>
      <c r="BP8" s="125"/>
      <c r="BQ8" s="125"/>
      <c r="BR8" s="126"/>
      <c r="BS8" s="57"/>
    </row>
    <row r="9" spans="1:71" s="63" customFormat="1" ht="9" customHeight="1" x14ac:dyDescent="0.25">
      <c r="A9" s="58"/>
      <c r="B9" s="127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9"/>
      <c r="O9" s="128"/>
      <c r="P9" s="127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9"/>
      <c r="AC9" s="128"/>
      <c r="AD9" s="127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9"/>
      <c r="AQ9" s="128"/>
      <c r="AR9" s="127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9"/>
      <c r="BE9" s="128"/>
      <c r="BF9" s="127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9"/>
      <c r="BS9" s="62"/>
    </row>
    <row r="10" spans="1:71" s="50" customFormat="1" ht="9" customHeight="1" x14ac:dyDescent="0.25">
      <c r="A10" s="49"/>
      <c r="B10" s="127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9"/>
      <c r="O10" s="128"/>
      <c r="P10" s="127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9"/>
      <c r="AC10" s="128"/>
      <c r="AD10" s="127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9"/>
      <c r="AQ10" s="128"/>
      <c r="AR10" s="127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9"/>
      <c r="BE10" s="128"/>
      <c r="BF10" s="127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9"/>
      <c r="BS10" s="52"/>
    </row>
    <row r="11" spans="1:71" s="50" customFormat="1" ht="9" customHeight="1" x14ac:dyDescent="0.25">
      <c r="A11" s="49"/>
      <c r="B11" s="127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9"/>
      <c r="O11" s="128"/>
      <c r="P11" s="127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9"/>
      <c r="AC11" s="128"/>
      <c r="AD11" s="127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9"/>
      <c r="AQ11" s="128"/>
      <c r="AR11" s="127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9"/>
      <c r="BE11" s="128"/>
      <c r="BF11" s="127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9"/>
      <c r="BS11" s="52"/>
    </row>
    <row r="12" spans="1:71" s="50" customFormat="1" ht="9" customHeight="1" x14ac:dyDescent="0.25">
      <c r="A12" s="49"/>
      <c r="B12" s="127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9"/>
      <c r="O12" s="128"/>
      <c r="P12" s="127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9"/>
      <c r="AC12" s="128"/>
      <c r="AD12" s="127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9"/>
      <c r="AQ12" s="128"/>
      <c r="AR12" s="127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9"/>
      <c r="BE12" s="128"/>
      <c r="BF12" s="127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9"/>
      <c r="BS12" s="52"/>
    </row>
    <row r="13" spans="1:71" s="50" customFormat="1" ht="9" customHeight="1" x14ac:dyDescent="0.25">
      <c r="A13" s="49"/>
      <c r="B13" s="127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9"/>
      <c r="O13" s="128"/>
      <c r="P13" s="127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9"/>
      <c r="AC13" s="128"/>
      <c r="AD13" s="127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9"/>
      <c r="AQ13" s="128"/>
      <c r="AR13" s="127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9"/>
      <c r="BE13" s="128"/>
      <c r="BF13" s="127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9"/>
      <c r="BS13" s="52"/>
    </row>
    <row r="14" spans="1:71" s="50" customFormat="1" ht="9" customHeight="1" x14ac:dyDescent="0.25">
      <c r="A14" s="49"/>
      <c r="B14" s="127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9"/>
      <c r="O14" s="128"/>
      <c r="P14" s="127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9"/>
      <c r="AC14" s="128"/>
      <c r="AD14" s="127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9"/>
      <c r="AQ14" s="128"/>
      <c r="AR14" s="127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9"/>
      <c r="BE14" s="128"/>
      <c r="BF14" s="127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9"/>
      <c r="BS14" s="52"/>
    </row>
    <row r="15" spans="1:71" s="50" customFormat="1" ht="9" customHeight="1" x14ac:dyDescent="0.25">
      <c r="A15" s="49"/>
      <c r="B15" s="127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9"/>
      <c r="O15" s="128"/>
      <c r="P15" s="127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9"/>
      <c r="AC15" s="128"/>
      <c r="AD15" s="127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9"/>
      <c r="AQ15" s="128"/>
      <c r="AR15" s="127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9"/>
      <c r="BE15" s="128"/>
      <c r="BF15" s="127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9"/>
      <c r="BS15" s="52"/>
    </row>
    <row r="16" spans="1:71" s="50" customFormat="1" ht="9" customHeight="1" x14ac:dyDescent="0.25">
      <c r="A16" s="49"/>
      <c r="B16" s="127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9"/>
      <c r="O16" s="128"/>
      <c r="P16" s="127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9"/>
      <c r="AC16" s="128"/>
      <c r="AD16" s="127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9"/>
      <c r="AQ16" s="128"/>
      <c r="AR16" s="127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9"/>
      <c r="BE16" s="128"/>
      <c r="BF16" s="127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9"/>
      <c r="BS16" s="52"/>
    </row>
    <row r="17" spans="1:71" s="50" customFormat="1" ht="9" customHeight="1" x14ac:dyDescent="0.25">
      <c r="A17" s="49"/>
      <c r="B17" s="127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9"/>
      <c r="O17" s="128"/>
      <c r="P17" s="127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9"/>
      <c r="AC17" s="128"/>
      <c r="AD17" s="127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9"/>
      <c r="AQ17" s="128"/>
      <c r="AR17" s="242" t="s">
        <v>211</v>
      </c>
      <c r="AS17" s="243"/>
      <c r="AT17" s="243"/>
      <c r="AU17" s="243"/>
      <c r="AV17" s="243"/>
      <c r="AW17" s="243"/>
      <c r="AX17" s="243"/>
      <c r="AY17" s="243"/>
      <c r="AZ17" s="243"/>
      <c r="BA17" s="243"/>
      <c r="BB17" s="243"/>
      <c r="BC17" s="243"/>
      <c r="BD17" s="244"/>
      <c r="BE17" s="128"/>
      <c r="BF17" s="127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9"/>
      <c r="BS17" s="52"/>
    </row>
    <row r="18" spans="1:71" s="50" customFormat="1" ht="9" customHeight="1" x14ac:dyDescent="0.25">
      <c r="A18" s="49"/>
      <c r="B18" s="242" t="s">
        <v>211</v>
      </c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4"/>
      <c r="O18" s="128"/>
      <c r="P18" s="242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4"/>
      <c r="AC18" s="128"/>
      <c r="AD18" s="242"/>
      <c r="AE18" s="243"/>
      <c r="AF18" s="243"/>
      <c r="AG18" s="243"/>
      <c r="AH18" s="243"/>
      <c r="AI18" s="243"/>
      <c r="AJ18" s="243"/>
      <c r="AK18" s="243"/>
      <c r="AL18" s="243"/>
      <c r="AM18" s="243"/>
      <c r="AN18" s="243"/>
      <c r="AO18" s="243"/>
      <c r="AP18" s="244"/>
      <c r="AQ18" s="128"/>
      <c r="AR18" s="133" t="s">
        <v>212</v>
      </c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5"/>
      <c r="BE18" s="128"/>
      <c r="BF18" s="127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9"/>
      <c r="BS18" s="52"/>
    </row>
    <row r="19" spans="1:71" s="50" customFormat="1" ht="9" customHeight="1" x14ac:dyDescent="0.25">
      <c r="A19" s="49"/>
      <c r="B19" s="242" t="s">
        <v>213</v>
      </c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4"/>
      <c r="O19" s="128"/>
      <c r="P19" s="242" t="s">
        <v>211</v>
      </c>
      <c r="Q19" s="243"/>
      <c r="R19" s="243"/>
      <c r="S19" s="243"/>
      <c r="T19" s="243"/>
      <c r="U19" s="243"/>
      <c r="V19" s="243"/>
      <c r="W19" s="243"/>
      <c r="X19" s="243"/>
      <c r="Y19" s="243"/>
      <c r="Z19" s="243"/>
      <c r="AA19" s="243"/>
      <c r="AB19" s="244"/>
      <c r="AC19" s="128"/>
      <c r="AD19" s="242" t="s">
        <v>211</v>
      </c>
      <c r="AE19" s="243"/>
      <c r="AF19" s="243"/>
      <c r="AG19" s="243"/>
      <c r="AH19" s="243"/>
      <c r="AI19" s="243"/>
      <c r="AJ19" s="243"/>
      <c r="AK19" s="243"/>
      <c r="AL19" s="243"/>
      <c r="AM19" s="243"/>
      <c r="AN19" s="243"/>
      <c r="AO19" s="243"/>
      <c r="AP19" s="244"/>
      <c r="AQ19" s="128"/>
      <c r="AR19" s="242" t="s">
        <v>213</v>
      </c>
      <c r="AS19" s="243"/>
      <c r="AT19" s="243"/>
      <c r="AU19" s="243"/>
      <c r="AV19" s="243"/>
      <c r="AW19" s="243"/>
      <c r="AX19" s="243"/>
      <c r="AY19" s="243"/>
      <c r="AZ19" s="243"/>
      <c r="BA19" s="243"/>
      <c r="BB19" s="243"/>
      <c r="BC19" s="243"/>
      <c r="BD19" s="244"/>
      <c r="BE19" s="128"/>
      <c r="BF19" s="127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9"/>
      <c r="BS19" s="52"/>
    </row>
    <row r="20" spans="1:71" s="50" customFormat="1" ht="9" customHeight="1" x14ac:dyDescent="0.2">
      <c r="A20" s="49"/>
      <c r="B20" s="239" t="s">
        <v>214</v>
      </c>
      <c r="C20" s="239"/>
      <c r="D20" s="239"/>
      <c r="E20" s="239"/>
      <c r="F20" s="239"/>
      <c r="G20" s="239"/>
      <c r="H20" s="239"/>
      <c r="I20" s="239"/>
      <c r="J20" s="239"/>
      <c r="K20" s="239"/>
      <c r="L20" s="240">
        <f>CEILING(2609*B3,1)</f>
        <v>4958</v>
      </c>
      <c r="M20" s="240"/>
      <c r="N20" s="240"/>
      <c r="O20" s="136"/>
      <c r="P20" s="130" t="s">
        <v>213</v>
      </c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2"/>
      <c r="AC20" s="136"/>
      <c r="AD20" s="130" t="s">
        <v>213</v>
      </c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2"/>
      <c r="AQ20" s="136"/>
      <c r="AR20" s="239" t="s">
        <v>214</v>
      </c>
      <c r="AS20" s="239"/>
      <c r="AT20" s="239"/>
      <c r="AU20" s="239"/>
      <c r="AV20" s="239"/>
      <c r="AW20" s="239"/>
      <c r="AX20" s="239"/>
      <c r="AY20" s="239"/>
      <c r="AZ20" s="239"/>
      <c r="BA20" s="239"/>
      <c r="BB20" s="240">
        <f>CEILING(2985*B3,1)</f>
        <v>5672</v>
      </c>
      <c r="BC20" s="240"/>
      <c r="BD20" s="240"/>
      <c r="BE20" s="136"/>
      <c r="BF20" s="242" t="s">
        <v>215</v>
      </c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4"/>
      <c r="BS20" s="52"/>
    </row>
    <row r="21" spans="1:71" s="50" customFormat="1" ht="9" customHeight="1" x14ac:dyDescent="0.2">
      <c r="A21" s="49"/>
      <c r="B21" s="239" t="s">
        <v>216</v>
      </c>
      <c r="C21" s="239"/>
      <c r="D21" s="239"/>
      <c r="E21" s="239"/>
      <c r="F21" s="239"/>
      <c r="G21" s="239"/>
      <c r="H21" s="239"/>
      <c r="I21" s="239"/>
      <c r="J21" s="239"/>
      <c r="K21" s="239"/>
      <c r="L21" s="240">
        <f>CEILING(2673*B3,1)</f>
        <v>5079</v>
      </c>
      <c r="M21" s="240"/>
      <c r="N21" s="240"/>
      <c r="O21" s="118"/>
      <c r="P21" s="239" t="s">
        <v>214</v>
      </c>
      <c r="Q21" s="239"/>
      <c r="R21" s="239"/>
      <c r="S21" s="239"/>
      <c r="T21" s="239"/>
      <c r="U21" s="239"/>
      <c r="V21" s="239"/>
      <c r="W21" s="239"/>
      <c r="X21" s="239"/>
      <c r="Y21" s="239"/>
      <c r="Z21" s="240">
        <f>CEILING(2958*B3,1)</f>
        <v>5621</v>
      </c>
      <c r="AA21" s="240"/>
      <c r="AB21" s="240"/>
      <c r="AC21" s="118"/>
      <c r="AD21" s="276" t="s">
        <v>217</v>
      </c>
      <c r="AE21" s="276"/>
      <c r="AF21" s="276"/>
      <c r="AG21" s="276"/>
      <c r="AH21" s="276"/>
      <c r="AI21" s="276"/>
      <c r="AJ21" s="276"/>
      <c r="AK21" s="276"/>
      <c r="AL21" s="276"/>
      <c r="AM21" s="276"/>
      <c r="AN21" s="240">
        <f>CEILING(4973*B3,1)</f>
        <v>9449</v>
      </c>
      <c r="AO21" s="240"/>
      <c r="AP21" s="240"/>
      <c r="AQ21" s="118"/>
      <c r="AR21" s="239" t="s">
        <v>216</v>
      </c>
      <c r="AS21" s="239"/>
      <c r="AT21" s="239"/>
      <c r="AU21" s="239"/>
      <c r="AV21" s="239"/>
      <c r="AW21" s="239"/>
      <c r="AX21" s="239"/>
      <c r="AY21" s="239"/>
      <c r="AZ21" s="239"/>
      <c r="BA21" s="239"/>
      <c r="BB21" s="240">
        <f>CEILING(3092*B3,1)</f>
        <v>5875</v>
      </c>
      <c r="BC21" s="240"/>
      <c r="BD21" s="240"/>
      <c r="BE21" s="136"/>
      <c r="BF21" s="242" t="s">
        <v>213</v>
      </c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4"/>
      <c r="BS21" s="52"/>
    </row>
    <row r="22" spans="1:71" s="50" customFormat="1" ht="9" customHeight="1" x14ac:dyDescent="0.2">
      <c r="A22" s="49"/>
      <c r="B22" s="239" t="s">
        <v>218</v>
      </c>
      <c r="C22" s="239"/>
      <c r="D22" s="239"/>
      <c r="E22" s="239"/>
      <c r="F22" s="239"/>
      <c r="G22" s="239"/>
      <c r="H22" s="239"/>
      <c r="I22" s="239"/>
      <c r="J22" s="239"/>
      <c r="K22" s="239"/>
      <c r="L22" s="240">
        <f>CEILING(2809*B3,1)</f>
        <v>5338</v>
      </c>
      <c r="M22" s="240"/>
      <c r="N22" s="240"/>
      <c r="O22" s="118"/>
      <c r="P22" s="239" t="s">
        <v>216</v>
      </c>
      <c r="Q22" s="239"/>
      <c r="R22" s="239"/>
      <c r="S22" s="239"/>
      <c r="T22" s="239"/>
      <c r="U22" s="239"/>
      <c r="V22" s="239"/>
      <c r="W22" s="239"/>
      <c r="X22" s="239"/>
      <c r="Y22" s="239"/>
      <c r="Z22" s="240">
        <f>CEILING(3092*B3,1)</f>
        <v>5875</v>
      </c>
      <c r="AA22" s="240"/>
      <c r="AB22" s="240"/>
      <c r="AC22" s="118"/>
      <c r="AD22" s="276" t="s">
        <v>219</v>
      </c>
      <c r="AE22" s="276"/>
      <c r="AF22" s="276"/>
      <c r="AG22" s="276"/>
      <c r="AH22" s="276"/>
      <c r="AI22" s="276"/>
      <c r="AJ22" s="276"/>
      <c r="AK22" s="276"/>
      <c r="AL22" s="276"/>
      <c r="AM22" s="276"/>
      <c r="AN22" s="240">
        <f>CEILING(5284*B3,1)</f>
        <v>10040</v>
      </c>
      <c r="AO22" s="240"/>
      <c r="AP22" s="240"/>
      <c r="AQ22" s="118"/>
      <c r="AR22" s="239" t="s">
        <v>218</v>
      </c>
      <c r="AS22" s="239"/>
      <c r="AT22" s="239"/>
      <c r="AU22" s="239"/>
      <c r="AV22" s="239"/>
      <c r="AW22" s="239"/>
      <c r="AX22" s="239"/>
      <c r="AY22" s="239"/>
      <c r="AZ22" s="239"/>
      <c r="BA22" s="239"/>
      <c r="BB22" s="240">
        <f>CEILING(3201*B3,1)</f>
        <v>6082</v>
      </c>
      <c r="BC22" s="240"/>
      <c r="BD22" s="240"/>
      <c r="BE22" s="137"/>
      <c r="BF22" s="239" t="s">
        <v>220</v>
      </c>
      <c r="BG22" s="239"/>
      <c r="BH22" s="239"/>
      <c r="BI22" s="239"/>
      <c r="BJ22" s="239"/>
      <c r="BK22" s="239"/>
      <c r="BL22" s="239"/>
      <c r="BM22" s="239"/>
      <c r="BN22" s="239"/>
      <c r="BO22" s="239"/>
      <c r="BP22" s="240">
        <f>CEILING(3892*B3,1)</f>
        <v>7395</v>
      </c>
      <c r="BQ22" s="240"/>
      <c r="BR22" s="240"/>
      <c r="BS22" s="52"/>
    </row>
    <row r="23" spans="1:71" s="50" customFormat="1" ht="2.1" customHeight="1" x14ac:dyDescent="0.25">
      <c r="A23" s="49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52"/>
    </row>
    <row r="24" spans="1:71" s="50" customFormat="1" ht="9" customHeight="1" x14ac:dyDescent="0.25">
      <c r="A24" s="49"/>
      <c r="B24" s="245" t="s">
        <v>221</v>
      </c>
      <c r="C24" s="246"/>
      <c r="D24" s="246"/>
      <c r="E24" s="247"/>
      <c r="F24" s="138"/>
      <c r="G24" s="138"/>
      <c r="H24" s="138"/>
      <c r="I24" s="138"/>
      <c r="J24" s="138"/>
      <c r="K24" s="138"/>
      <c r="L24" s="138"/>
      <c r="M24" s="138"/>
      <c r="N24" s="139"/>
      <c r="O24" s="128"/>
      <c r="P24" s="245" t="s">
        <v>222</v>
      </c>
      <c r="Q24" s="246"/>
      <c r="R24" s="246"/>
      <c r="S24" s="247"/>
      <c r="T24" s="138"/>
      <c r="U24" s="138"/>
      <c r="V24" s="138"/>
      <c r="W24" s="138"/>
      <c r="X24" s="138"/>
      <c r="Y24" s="138"/>
      <c r="Z24" s="138"/>
      <c r="AA24" s="138"/>
      <c r="AB24" s="139"/>
      <c r="AC24" s="128"/>
      <c r="AD24" s="245" t="s">
        <v>223</v>
      </c>
      <c r="AE24" s="246"/>
      <c r="AF24" s="246"/>
      <c r="AG24" s="247"/>
      <c r="AH24" s="138"/>
      <c r="AI24" s="138"/>
      <c r="AJ24" s="138"/>
      <c r="AK24" s="138"/>
      <c r="AL24" s="138"/>
      <c r="AM24" s="138"/>
      <c r="AN24" s="138"/>
      <c r="AO24" s="138"/>
      <c r="AP24" s="139"/>
      <c r="AQ24" s="128"/>
      <c r="AR24" s="245" t="s">
        <v>224</v>
      </c>
      <c r="AS24" s="246"/>
      <c r="AT24" s="246"/>
      <c r="AU24" s="247"/>
      <c r="AV24" s="248" t="s">
        <v>225</v>
      </c>
      <c r="AW24" s="249"/>
      <c r="AX24" s="249"/>
      <c r="AY24" s="249"/>
      <c r="AZ24" s="249"/>
      <c r="BA24" s="249"/>
      <c r="BB24" s="249"/>
      <c r="BC24" s="249"/>
      <c r="BD24" s="250"/>
      <c r="BE24" s="128"/>
      <c r="BF24" s="245" t="s">
        <v>226</v>
      </c>
      <c r="BG24" s="246"/>
      <c r="BH24" s="246"/>
      <c r="BI24" s="247"/>
      <c r="BJ24" s="138"/>
      <c r="BK24" s="138"/>
      <c r="BL24" s="138"/>
      <c r="BM24" s="138"/>
      <c r="BN24" s="138"/>
      <c r="BO24" s="138"/>
      <c r="BP24" s="138"/>
      <c r="BQ24" s="138"/>
      <c r="BR24" s="139"/>
      <c r="BS24" s="52"/>
    </row>
    <row r="25" spans="1:71" s="50" customFormat="1" ht="9" customHeight="1" x14ac:dyDescent="0.25">
      <c r="A25" s="49"/>
      <c r="B25" s="127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9"/>
      <c r="O25" s="128"/>
      <c r="P25" s="127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9"/>
      <c r="AC25" s="128"/>
      <c r="AD25" s="127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9"/>
      <c r="AQ25" s="128"/>
      <c r="AR25" s="127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9"/>
      <c r="BE25" s="128"/>
      <c r="BF25" s="127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9"/>
      <c r="BS25" s="52"/>
    </row>
    <row r="26" spans="1:71" s="50" customFormat="1" ht="9" customHeight="1" x14ac:dyDescent="0.25">
      <c r="A26" s="49"/>
      <c r="B26" s="127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9"/>
      <c r="O26" s="128"/>
      <c r="P26" s="127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9"/>
      <c r="AC26" s="128"/>
      <c r="AD26" s="127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9"/>
      <c r="AQ26" s="128"/>
      <c r="AR26" s="127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9"/>
      <c r="BE26" s="128"/>
      <c r="BF26" s="127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9"/>
      <c r="BS26" s="52"/>
    </row>
    <row r="27" spans="1:71" s="50" customFormat="1" ht="9" customHeight="1" x14ac:dyDescent="0.25">
      <c r="A27" s="49"/>
      <c r="B27" s="127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9"/>
      <c r="O27" s="128"/>
      <c r="P27" s="127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9"/>
      <c r="AC27" s="128"/>
      <c r="AD27" s="127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9"/>
      <c r="AQ27" s="128"/>
      <c r="AR27" s="127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9"/>
      <c r="BE27" s="128"/>
      <c r="BF27" s="127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9"/>
      <c r="BS27" s="52"/>
    </row>
    <row r="28" spans="1:71" s="50" customFormat="1" ht="9" customHeight="1" x14ac:dyDescent="0.25">
      <c r="A28" s="49"/>
      <c r="B28" s="127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9"/>
      <c r="O28" s="128"/>
      <c r="P28" s="127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9"/>
      <c r="AC28" s="128"/>
      <c r="AD28" s="127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9"/>
      <c r="AQ28" s="128"/>
      <c r="AR28" s="127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9"/>
      <c r="BE28" s="128"/>
      <c r="BF28" s="127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9"/>
      <c r="BS28" s="52"/>
    </row>
    <row r="29" spans="1:71" s="50" customFormat="1" ht="9" customHeight="1" x14ac:dyDescent="0.25">
      <c r="A29" s="49"/>
      <c r="B29" s="127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9"/>
      <c r="O29" s="128"/>
      <c r="P29" s="127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9"/>
      <c r="AC29" s="128"/>
      <c r="AD29" s="127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9"/>
      <c r="AQ29" s="128"/>
      <c r="AR29" s="127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9"/>
      <c r="BE29" s="128"/>
      <c r="BF29" s="127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9"/>
      <c r="BS29" s="52"/>
    </row>
    <row r="30" spans="1:71" s="50" customFormat="1" ht="9" customHeight="1" x14ac:dyDescent="0.25">
      <c r="A30" s="49"/>
      <c r="B30" s="127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9"/>
      <c r="O30" s="128"/>
      <c r="P30" s="127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9"/>
      <c r="AC30" s="128"/>
      <c r="AD30" s="127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9"/>
      <c r="AQ30" s="128"/>
      <c r="AR30" s="127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9"/>
      <c r="BE30" s="128"/>
      <c r="BF30" s="127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9"/>
      <c r="BS30" s="52"/>
    </row>
    <row r="31" spans="1:71" s="50" customFormat="1" ht="9" customHeight="1" x14ac:dyDescent="0.25">
      <c r="A31" s="49"/>
      <c r="B31" s="127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9"/>
      <c r="O31" s="128"/>
      <c r="P31" s="127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9"/>
      <c r="AC31" s="128"/>
      <c r="AD31" s="127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9"/>
      <c r="AQ31" s="128"/>
      <c r="AR31" s="127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9"/>
      <c r="BE31" s="128"/>
      <c r="BF31" s="127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9"/>
      <c r="BS31" s="52"/>
    </row>
    <row r="32" spans="1:71" s="50" customFormat="1" ht="9" customHeight="1" x14ac:dyDescent="0.25">
      <c r="A32" s="49"/>
      <c r="B32" s="127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9"/>
      <c r="O32" s="128"/>
      <c r="P32" s="127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9"/>
      <c r="AC32" s="128"/>
      <c r="AD32" s="127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9"/>
      <c r="AQ32" s="128"/>
      <c r="AR32" s="127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9"/>
      <c r="BE32" s="128"/>
      <c r="BF32" s="127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9"/>
      <c r="BS32" s="52"/>
    </row>
    <row r="33" spans="1:71" s="50" customFormat="1" ht="9" customHeight="1" x14ac:dyDescent="0.25">
      <c r="A33" s="49"/>
      <c r="B33" s="127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9"/>
      <c r="O33" s="128"/>
      <c r="P33" s="127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9"/>
      <c r="AC33" s="128"/>
      <c r="AD33" s="127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9"/>
      <c r="AQ33" s="128"/>
      <c r="AR33" s="127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9"/>
      <c r="BE33" s="128"/>
      <c r="BF33" s="127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9"/>
      <c r="BS33" s="52"/>
    </row>
    <row r="34" spans="1:71" s="50" customFormat="1" ht="9" customHeight="1" x14ac:dyDescent="0.25">
      <c r="A34" s="49"/>
      <c r="B34" s="127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9"/>
      <c r="O34" s="128"/>
      <c r="P34" s="127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9"/>
      <c r="AC34" s="128"/>
      <c r="AD34" s="127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9"/>
      <c r="AQ34" s="128"/>
      <c r="AR34" s="127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9"/>
      <c r="BE34" s="128"/>
      <c r="BF34" s="127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9"/>
      <c r="BS34" s="52"/>
    </row>
    <row r="35" spans="1:71" s="50" customFormat="1" ht="9" customHeight="1" x14ac:dyDescent="0.25">
      <c r="A35" s="49"/>
      <c r="B35" s="127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9"/>
      <c r="O35" s="128"/>
      <c r="P35" s="242" t="s">
        <v>227</v>
      </c>
      <c r="Q35" s="243"/>
      <c r="R35" s="243"/>
      <c r="S35" s="243"/>
      <c r="T35" s="243"/>
      <c r="U35" s="243"/>
      <c r="V35" s="243"/>
      <c r="W35" s="243"/>
      <c r="X35" s="243"/>
      <c r="Y35" s="243"/>
      <c r="Z35" s="243"/>
      <c r="AA35" s="243"/>
      <c r="AB35" s="244"/>
      <c r="AC35" s="128"/>
      <c r="AD35" s="242" t="s">
        <v>227</v>
      </c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4"/>
      <c r="AQ35" s="128"/>
      <c r="AR35" s="242" t="s">
        <v>228</v>
      </c>
      <c r="AS35" s="243"/>
      <c r="AT35" s="243"/>
      <c r="AU35" s="243"/>
      <c r="AV35" s="243"/>
      <c r="AW35" s="243"/>
      <c r="AX35" s="243"/>
      <c r="AY35" s="243"/>
      <c r="AZ35" s="243"/>
      <c r="BA35" s="243"/>
      <c r="BB35" s="243"/>
      <c r="BC35" s="243"/>
      <c r="BD35" s="244"/>
      <c r="BE35" s="128"/>
      <c r="BF35" s="127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9"/>
      <c r="BS35" s="52"/>
    </row>
    <row r="36" spans="1:71" s="50" customFormat="1" ht="9" customHeight="1" x14ac:dyDescent="0.25">
      <c r="A36" s="49"/>
      <c r="B36" s="242" t="s">
        <v>227</v>
      </c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4"/>
      <c r="O36" s="128"/>
      <c r="P36" s="134" t="s">
        <v>229</v>
      </c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28"/>
      <c r="AD36" s="134" t="s">
        <v>230</v>
      </c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28"/>
      <c r="AR36" s="242" t="s">
        <v>231</v>
      </c>
      <c r="AS36" s="243"/>
      <c r="AT36" s="243"/>
      <c r="AU36" s="243"/>
      <c r="AV36" s="243"/>
      <c r="AW36" s="243"/>
      <c r="AX36" s="244"/>
      <c r="AY36" s="251" t="s">
        <v>232</v>
      </c>
      <c r="AZ36" s="251"/>
      <c r="BA36" s="251"/>
      <c r="BB36" s="251" t="s">
        <v>5</v>
      </c>
      <c r="BC36" s="251"/>
      <c r="BD36" s="251"/>
      <c r="BE36" s="128"/>
      <c r="BF36" s="242"/>
      <c r="BG36" s="243"/>
      <c r="BH36" s="243"/>
      <c r="BI36" s="243"/>
      <c r="BJ36" s="243"/>
      <c r="BK36" s="243"/>
      <c r="BL36" s="243"/>
      <c r="BM36" s="243"/>
      <c r="BN36" s="243"/>
      <c r="BO36" s="243"/>
      <c r="BP36" s="243"/>
      <c r="BQ36" s="243"/>
      <c r="BR36" s="244"/>
      <c r="BS36" s="52"/>
    </row>
    <row r="37" spans="1:71" s="50" customFormat="1" ht="9" customHeight="1" x14ac:dyDescent="0.25">
      <c r="A37" s="49"/>
      <c r="B37" s="242" t="s">
        <v>213</v>
      </c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4"/>
      <c r="O37" s="128"/>
      <c r="P37" s="242" t="s">
        <v>213</v>
      </c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4"/>
      <c r="AC37" s="128"/>
      <c r="AD37" s="242" t="s">
        <v>213</v>
      </c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4"/>
      <c r="AQ37" s="128"/>
      <c r="AR37" s="239" t="s">
        <v>233</v>
      </c>
      <c r="AS37" s="239"/>
      <c r="AT37" s="239"/>
      <c r="AU37" s="239"/>
      <c r="AV37" s="239"/>
      <c r="AW37" s="239"/>
      <c r="AX37" s="239"/>
      <c r="AY37" s="256">
        <f>CEILING(3308*B3,1)</f>
        <v>6286</v>
      </c>
      <c r="AZ37" s="256"/>
      <c r="BA37" s="256"/>
      <c r="BB37" s="240">
        <f>CEILING(4556*B3,1)</f>
        <v>8657</v>
      </c>
      <c r="BC37" s="240"/>
      <c r="BD37" s="240"/>
      <c r="BE37" s="128"/>
      <c r="BF37" s="242" t="s">
        <v>234</v>
      </c>
      <c r="BG37" s="243"/>
      <c r="BH37" s="243"/>
      <c r="BI37" s="243"/>
      <c r="BJ37" s="243"/>
      <c r="BK37" s="243"/>
      <c r="BL37" s="243"/>
      <c r="BM37" s="243"/>
      <c r="BN37" s="243"/>
      <c r="BO37" s="243"/>
      <c r="BP37" s="243"/>
      <c r="BQ37" s="243"/>
      <c r="BR37" s="244"/>
      <c r="BS37" s="52"/>
    </row>
    <row r="38" spans="1:71" s="50" customFormat="1" ht="9" customHeight="1" x14ac:dyDescent="0.15">
      <c r="A38" s="49"/>
      <c r="B38" s="239" t="s">
        <v>235</v>
      </c>
      <c r="C38" s="239"/>
      <c r="D38" s="239"/>
      <c r="E38" s="239"/>
      <c r="F38" s="239"/>
      <c r="G38" s="239"/>
      <c r="H38" s="239"/>
      <c r="I38" s="239"/>
      <c r="J38" s="239"/>
      <c r="K38" s="239"/>
      <c r="L38" s="240">
        <f>CEILING(6545*B3,1)</f>
        <v>12436</v>
      </c>
      <c r="M38" s="240"/>
      <c r="N38" s="240"/>
      <c r="O38" s="118"/>
      <c r="P38" s="239" t="s">
        <v>236</v>
      </c>
      <c r="Q38" s="239"/>
      <c r="R38" s="239"/>
      <c r="S38" s="239"/>
      <c r="T38" s="239"/>
      <c r="U38" s="239"/>
      <c r="V38" s="239"/>
      <c r="W38" s="239"/>
      <c r="X38" s="239"/>
      <c r="Y38" s="239"/>
      <c r="Z38" s="240">
        <f>CEILING(8994*B3,1)</f>
        <v>17089</v>
      </c>
      <c r="AA38" s="240"/>
      <c r="AB38" s="240"/>
      <c r="AC38" s="118"/>
      <c r="AD38" s="239" t="s">
        <v>237</v>
      </c>
      <c r="AE38" s="239"/>
      <c r="AF38" s="239"/>
      <c r="AG38" s="239"/>
      <c r="AH38" s="239"/>
      <c r="AI38" s="239"/>
      <c r="AJ38" s="239"/>
      <c r="AK38" s="239"/>
      <c r="AL38" s="239"/>
      <c r="AM38" s="239"/>
      <c r="AN38" s="240">
        <f>CEILING(15794*B3,1)</f>
        <v>30009</v>
      </c>
      <c r="AO38" s="240"/>
      <c r="AP38" s="240"/>
      <c r="AQ38" s="118"/>
      <c r="AR38" s="239" t="s">
        <v>238</v>
      </c>
      <c r="AS38" s="239"/>
      <c r="AT38" s="239"/>
      <c r="AU38" s="239"/>
      <c r="AV38" s="239"/>
      <c r="AW38" s="239"/>
      <c r="AX38" s="239"/>
      <c r="AY38" s="256">
        <f>CEILING(4025*B3,1)</f>
        <v>7648</v>
      </c>
      <c r="AZ38" s="256"/>
      <c r="BA38" s="256"/>
      <c r="BB38" s="240">
        <f>CEILING(5535*B3,1)</f>
        <v>10517</v>
      </c>
      <c r="BC38" s="240"/>
      <c r="BD38" s="240"/>
      <c r="BE38" s="118"/>
      <c r="BF38" s="239" t="s">
        <v>239</v>
      </c>
      <c r="BG38" s="239"/>
      <c r="BH38" s="239"/>
      <c r="BI38" s="239"/>
      <c r="BJ38" s="239"/>
      <c r="BK38" s="239"/>
      <c r="BL38" s="239"/>
      <c r="BM38" s="239"/>
      <c r="BN38" s="239"/>
      <c r="BO38" s="239"/>
      <c r="BP38" s="240">
        <f>CEILING(1997*B3,1)</f>
        <v>3795</v>
      </c>
      <c r="BQ38" s="240"/>
      <c r="BR38" s="240"/>
      <c r="BS38" s="140"/>
    </row>
    <row r="39" spans="1:71" s="50" customFormat="1" ht="2.1" customHeight="1" x14ac:dyDescent="0.25">
      <c r="A39" s="49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52"/>
    </row>
    <row r="40" spans="1:71" s="50" customFormat="1" ht="9" customHeight="1" x14ac:dyDescent="0.25">
      <c r="A40" s="49"/>
      <c r="B40" s="245" t="s">
        <v>240</v>
      </c>
      <c r="C40" s="246"/>
      <c r="D40" s="246"/>
      <c r="E40" s="247"/>
      <c r="F40" s="138"/>
      <c r="G40" s="138"/>
      <c r="H40" s="138"/>
      <c r="I40" s="138"/>
      <c r="J40" s="138"/>
      <c r="K40" s="138"/>
      <c r="L40" s="138"/>
      <c r="M40" s="138"/>
      <c r="N40" s="139"/>
      <c r="O40" s="128"/>
      <c r="P40" s="245" t="s">
        <v>241</v>
      </c>
      <c r="Q40" s="246"/>
      <c r="R40" s="246"/>
      <c r="S40" s="247"/>
      <c r="T40" s="138"/>
      <c r="U40" s="138"/>
      <c r="V40" s="138"/>
      <c r="W40" s="138"/>
      <c r="X40" s="138"/>
      <c r="Y40" s="138"/>
      <c r="Z40" s="138"/>
      <c r="AA40" s="138"/>
      <c r="AB40" s="139"/>
      <c r="AC40" s="128"/>
      <c r="AD40" s="245" t="s">
        <v>242</v>
      </c>
      <c r="AE40" s="246"/>
      <c r="AF40" s="246"/>
      <c r="AG40" s="247"/>
      <c r="AH40" s="138"/>
      <c r="AI40" s="138"/>
      <c r="AJ40" s="138"/>
      <c r="AK40" s="138"/>
      <c r="AL40" s="138"/>
      <c r="AM40" s="138"/>
      <c r="AN40" s="138"/>
      <c r="AO40" s="138"/>
      <c r="AP40" s="139"/>
      <c r="AQ40" s="128"/>
      <c r="AR40" s="245" t="s">
        <v>243</v>
      </c>
      <c r="AS40" s="246"/>
      <c r="AT40" s="246"/>
      <c r="AU40" s="247"/>
      <c r="AV40" s="138"/>
      <c r="AW40" s="138"/>
      <c r="AX40" s="138"/>
      <c r="AY40" s="138"/>
      <c r="AZ40" s="138"/>
      <c r="BA40" s="138"/>
      <c r="BB40" s="138"/>
      <c r="BC40" s="138"/>
      <c r="BD40" s="139"/>
      <c r="BE40" s="128"/>
      <c r="BF40" s="245" t="s">
        <v>244</v>
      </c>
      <c r="BG40" s="246"/>
      <c r="BH40" s="246"/>
      <c r="BI40" s="247"/>
      <c r="BJ40" s="138"/>
      <c r="BK40" s="138"/>
      <c r="BL40" s="138"/>
      <c r="BM40" s="138"/>
      <c r="BN40" s="138"/>
      <c r="BO40" s="138"/>
      <c r="BP40" s="138"/>
      <c r="BQ40" s="138"/>
      <c r="BR40" s="139"/>
      <c r="BS40" s="52"/>
    </row>
    <row r="41" spans="1:71" s="63" customFormat="1" ht="9" customHeight="1" x14ac:dyDescent="0.25">
      <c r="A41" s="58"/>
      <c r="B41" s="127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9"/>
      <c r="O41" s="128"/>
      <c r="P41" s="127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128"/>
      <c r="AD41" s="127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9"/>
      <c r="AQ41" s="128"/>
      <c r="AR41" s="127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9"/>
      <c r="BE41" s="128"/>
      <c r="BF41" s="127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9"/>
      <c r="BS41" s="62"/>
    </row>
    <row r="42" spans="1:71" s="50" customFormat="1" ht="9" customHeight="1" x14ac:dyDescent="0.25">
      <c r="A42" s="49"/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9"/>
      <c r="O42" s="128"/>
      <c r="P42" s="127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128"/>
      <c r="AD42" s="127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9"/>
      <c r="AQ42" s="128"/>
      <c r="AR42" s="127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9"/>
      <c r="BE42" s="128"/>
      <c r="BF42" s="127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9"/>
      <c r="BS42" s="52"/>
    </row>
    <row r="43" spans="1:71" s="50" customFormat="1" ht="9" customHeight="1" x14ac:dyDescent="0.25">
      <c r="A43" s="49"/>
      <c r="B43" s="127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9"/>
      <c r="O43" s="128"/>
      <c r="P43" s="127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9"/>
      <c r="AC43" s="128"/>
      <c r="AD43" s="127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9"/>
      <c r="AQ43" s="128"/>
      <c r="AR43" s="127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9"/>
      <c r="BE43" s="128"/>
      <c r="BF43" s="127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9"/>
      <c r="BS43" s="52"/>
    </row>
    <row r="44" spans="1:71" s="50" customFormat="1" ht="9" customHeight="1" x14ac:dyDescent="0.25">
      <c r="A44" s="49"/>
      <c r="B44" s="127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9"/>
      <c r="O44" s="128"/>
      <c r="P44" s="127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9"/>
      <c r="AC44" s="128"/>
      <c r="AD44" s="127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9"/>
      <c r="AQ44" s="128"/>
      <c r="AR44" s="127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9"/>
      <c r="BE44" s="128"/>
      <c r="BF44" s="127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9"/>
      <c r="BS44" s="52"/>
    </row>
    <row r="45" spans="1:71" s="50" customFormat="1" ht="9" customHeight="1" x14ac:dyDescent="0.25">
      <c r="A45" s="49"/>
      <c r="B45" s="127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9"/>
      <c r="O45" s="128"/>
      <c r="P45" s="127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9"/>
      <c r="AC45" s="128"/>
      <c r="AD45" s="127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9"/>
      <c r="AQ45" s="128"/>
      <c r="AR45" s="127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9"/>
      <c r="BE45" s="128"/>
      <c r="BF45" s="127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9"/>
      <c r="BS45" s="52"/>
    </row>
    <row r="46" spans="1:71" s="50" customFormat="1" ht="9" customHeight="1" x14ac:dyDescent="0.25">
      <c r="A46" s="49"/>
      <c r="B46" s="127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9"/>
      <c r="O46" s="128"/>
      <c r="P46" s="127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9"/>
      <c r="AC46" s="128"/>
      <c r="AD46" s="127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9"/>
      <c r="AQ46" s="128"/>
      <c r="AR46" s="127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9"/>
      <c r="BE46" s="128"/>
      <c r="BF46" s="127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9"/>
      <c r="BS46" s="52"/>
    </row>
    <row r="47" spans="1:71" s="50" customFormat="1" ht="9" customHeight="1" x14ac:dyDescent="0.25">
      <c r="A47" s="49"/>
      <c r="B47" s="127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9"/>
      <c r="O47" s="128"/>
      <c r="P47" s="127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9"/>
      <c r="AC47" s="128"/>
      <c r="AD47" s="127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9"/>
      <c r="AQ47" s="128"/>
      <c r="AR47" s="127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9"/>
      <c r="BE47" s="128"/>
      <c r="BF47" s="127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9"/>
      <c r="BS47" s="52"/>
    </row>
    <row r="48" spans="1:71" s="50" customFormat="1" ht="9" customHeight="1" x14ac:dyDescent="0.25">
      <c r="A48" s="49"/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9"/>
      <c r="O48" s="128"/>
      <c r="P48" s="127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9"/>
      <c r="AC48" s="128"/>
      <c r="AD48" s="127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9"/>
      <c r="AQ48" s="128"/>
      <c r="AR48" s="127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9"/>
      <c r="BE48" s="128"/>
      <c r="BF48" s="127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9"/>
      <c r="BS48" s="52"/>
    </row>
    <row r="49" spans="1:71" s="50" customFormat="1" ht="9" customHeight="1" x14ac:dyDescent="0.25">
      <c r="A49" s="49"/>
      <c r="B49" s="127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9"/>
      <c r="O49" s="128"/>
      <c r="P49" s="127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9"/>
      <c r="AC49" s="128"/>
      <c r="AD49" s="127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9"/>
      <c r="AQ49" s="128"/>
      <c r="AR49" s="127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9"/>
      <c r="BE49" s="128"/>
      <c r="BF49" s="127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9"/>
      <c r="BS49" s="52"/>
    </row>
    <row r="50" spans="1:71" s="50" customFormat="1" ht="9" customHeight="1" x14ac:dyDescent="0.25">
      <c r="A50" s="49"/>
      <c r="B50" s="127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9"/>
      <c r="O50" s="128"/>
      <c r="P50" s="127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9"/>
      <c r="AC50" s="128"/>
      <c r="AD50" s="127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9"/>
      <c r="AQ50" s="128"/>
      <c r="AR50" s="127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9"/>
      <c r="BE50" s="128"/>
      <c r="BF50" s="127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9"/>
      <c r="BS50" s="52"/>
    </row>
    <row r="51" spans="1:71" s="50" customFormat="1" ht="9" customHeight="1" x14ac:dyDescent="0.25">
      <c r="A51" s="49"/>
      <c r="B51" s="127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9"/>
      <c r="O51" s="128"/>
      <c r="P51" s="127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9"/>
      <c r="AC51" s="128"/>
      <c r="AD51" s="242" t="s">
        <v>245</v>
      </c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4"/>
      <c r="AQ51" s="128"/>
      <c r="AR51" s="127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9"/>
      <c r="BE51" s="128"/>
      <c r="BF51" s="127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9"/>
      <c r="BS51" s="52"/>
    </row>
    <row r="52" spans="1:71" s="50" customFormat="1" ht="9" customHeight="1" x14ac:dyDescent="0.25">
      <c r="A52" s="49"/>
      <c r="B52" s="242" t="s">
        <v>246</v>
      </c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4"/>
      <c r="O52" s="128"/>
      <c r="P52" s="242" t="s">
        <v>246</v>
      </c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4"/>
      <c r="AC52" s="128"/>
      <c r="AD52" s="242" t="s">
        <v>247</v>
      </c>
      <c r="AE52" s="243"/>
      <c r="AF52" s="243"/>
      <c r="AG52" s="243"/>
      <c r="AH52" s="243"/>
      <c r="AI52" s="243"/>
      <c r="AJ52" s="244"/>
      <c r="AK52" s="251" t="s">
        <v>232</v>
      </c>
      <c r="AL52" s="251"/>
      <c r="AM52" s="251"/>
      <c r="AN52" s="251"/>
      <c r="AO52" s="251"/>
      <c r="AP52" s="251"/>
      <c r="AQ52" s="128"/>
      <c r="AR52" s="242" t="s">
        <v>245</v>
      </c>
      <c r="AS52" s="243"/>
      <c r="AT52" s="243"/>
      <c r="AU52" s="243"/>
      <c r="AV52" s="243"/>
      <c r="AW52" s="243"/>
      <c r="AX52" s="243"/>
      <c r="AY52" s="243"/>
      <c r="AZ52" s="243"/>
      <c r="BA52" s="243"/>
      <c r="BB52" s="243"/>
      <c r="BC52" s="243"/>
      <c r="BD52" s="244"/>
      <c r="BE52" s="128"/>
      <c r="BF52" s="242" t="s">
        <v>6</v>
      </c>
      <c r="BG52" s="243"/>
      <c r="BH52" s="243"/>
      <c r="BI52" s="243"/>
      <c r="BJ52" s="243"/>
      <c r="BK52" s="243"/>
      <c r="BL52" s="243"/>
      <c r="BM52" s="243"/>
      <c r="BN52" s="243"/>
      <c r="BO52" s="243"/>
      <c r="BP52" s="243"/>
      <c r="BQ52" s="243"/>
      <c r="BR52" s="244"/>
      <c r="BS52" s="52"/>
    </row>
    <row r="53" spans="1:71" s="50" customFormat="1" ht="9" customHeight="1" x14ac:dyDescent="0.25">
      <c r="A53" s="49"/>
      <c r="B53" s="242" t="s">
        <v>248</v>
      </c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4"/>
      <c r="O53" s="128"/>
      <c r="P53" s="242" t="s">
        <v>249</v>
      </c>
      <c r="Q53" s="243"/>
      <c r="R53" s="243"/>
      <c r="S53" s="243"/>
      <c r="T53" s="243"/>
      <c r="U53" s="243"/>
      <c r="V53" s="243"/>
      <c r="W53" s="243"/>
      <c r="X53" s="243"/>
      <c r="Y53" s="243"/>
      <c r="Z53" s="243"/>
      <c r="AA53" s="243"/>
      <c r="AB53" s="244"/>
      <c r="AC53" s="128"/>
      <c r="AD53" s="239" t="s">
        <v>250</v>
      </c>
      <c r="AE53" s="239"/>
      <c r="AF53" s="239"/>
      <c r="AG53" s="239"/>
      <c r="AH53" s="239"/>
      <c r="AI53" s="239"/>
      <c r="AJ53" s="239"/>
      <c r="AK53" s="256">
        <f>CEILING(2226*B3,1)</f>
        <v>4230</v>
      </c>
      <c r="AL53" s="256"/>
      <c r="AM53" s="256"/>
      <c r="AN53" s="240"/>
      <c r="AO53" s="240"/>
      <c r="AP53" s="240"/>
      <c r="AQ53" s="128"/>
      <c r="AR53" s="242" t="s">
        <v>247</v>
      </c>
      <c r="AS53" s="243"/>
      <c r="AT53" s="243"/>
      <c r="AU53" s="243"/>
      <c r="AV53" s="243"/>
      <c r="AW53" s="243"/>
      <c r="AX53" s="244"/>
      <c r="AY53" s="251" t="s">
        <v>232</v>
      </c>
      <c r="AZ53" s="251"/>
      <c r="BA53" s="251"/>
      <c r="BB53" s="251"/>
      <c r="BC53" s="251"/>
      <c r="BD53" s="251"/>
      <c r="BE53" s="128"/>
      <c r="BF53" s="242"/>
      <c r="BG53" s="243"/>
      <c r="BH53" s="243"/>
      <c r="BI53" s="243"/>
      <c r="BJ53" s="243"/>
      <c r="BK53" s="243"/>
      <c r="BL53" s="244"/>
      <c r="BM53" s="251" t="s">
        <v>232</v>
      </c>
      <c r="BN53" s="251"/>
      <c r="BO53" s="251"/>
      <c r="BP53" s="251"/>
      <c r="BQ53" s="251"/>
      <c r="BR53" s="251"/>
      <c r="BS53" s="52"/>
    </row>
    <row r="54" spans="1:71" s="50" customFormat="1" ht="9" customHeight="1" x14ac:dyDescent="0.25">
      <c r="A54" s="49"/>
      <c r="B54" s="239" t="s">
        <v>251</v>
      </c>
      <c r="C54" s="239"/>
      <c r="D54" s="239"/>
      <c r="E54" s="239"/>
      <c r="F54" s="239"/>
      <c r="G54" s="239"/>
      <c r="H54" s="239"/>
      <c r="I54" s="239"/>
      <c r="J54" s="239"/>
      <c r="K54" s="239"/>
      <c r="L54" s="240">
        <f>CEILING(3080*B3,1)</f>
        <v>5852</v>
      </c>
      <c r="M54" s="240"/>
      <c r="N54" s="240"/>
      <c r="O54" s="75"/>
      <c r="P54" s="239" t="s">
        <v>252</v>
      </c>
      <c r="Q54" s="239"/>
      <c r="R54" s="239"/>
      <c r="S54" s="239"/>
      <c r="T54" s="239"/>
      <c r="U54" s="239"/>
      <c r="V54" s="239"/>
      <c r="W54" s="239"/>
      <c r="X54" s="239"/>
      <c r="Y54" s="239"/>
      <c r="Z54" s="240">
        <f>CEILING(2401*B3,1)</f>
        <v>4562</v>
      </c>
      <c r="AA54" s="240"/>
      <c r="AB54" s="240"/>
      <c r="AC54" s="75"/>
      <c r="AD54" s="239" t="s">
        <v>253</v>
      </c>
      <c r="AE54" s="239"/>
      <c r="AF54" s="239"/>
      <c r="AG54" s="239"/>
      <c r="AH54" s="239"/>
      <c r="AI54" s="239"/>
      <c r="AJ54" s="239"/>
      <c r="AK54" s="256">
        <f>CEILING(2441*B3,1)</f>
        <v>4638</v>
      </c>
      <c r="AL54" s="256"/>
      <c r="AM54" s="256"/>
      <c r="AN54" s="240"/>
      <c r="AO54" s="240"/>
      <c r="AP54" s="240"/>
      <c r="AQ54" s="75"/>
      <c r="AR54" s="239" t="s">
        <v>254</v>
      </c>
      <c r="AS54" s="239"/>
      <c r="AT54" s="239"/>
      <c r="AU54" s="239"/>
      <c r="AV54" s="239"/>
      <c r="AW54" s="239"/>
      <c r="AX54" s="239"/>
      <c r="AY54" s="240">
        <f>CEILING(1671*B3,1)</f>
        <v>3175</v>
      </c>
      <c r="AZ54" s="240"/>
      <c r="BA54" s="240"/>
      <c r="BB54" s="240"/>
      <c r="BC54" s="240"/>
      <c r="BD54" s="240"/>
      <c r="BE54" s="75"/>
      <c r="BF54" s="239" t="s">
        <v>254</v>
      </c>
      <c r="BG54" s="239"/>
      <c r="BH54" s="239"/>
      <c r="BI54" s="239"/>
      <c r="BJ54" s="239"/>
      <c r="BK54" s="239"/>
      <c r="BL54" s="239"/>
      <c r="BM54" s="240">
        <f>CEILING(2226*B3,1)</f>
        <v>4230</v>
      </c>
      <c r="BN54" s="240"/>
      <c r="BO54" s="240"/>
      <c r="BP54" s="240"/>
      <c r="BQ54" s="240"/>
      <c r="BR54" s="240"/>
      <c r="BS54" s="52"/>
    </row>
    <row r="55" spans="1:71" s="50" customFormat="1" ht="2.1" customHeight="1" x14ac:dyDescent="0.25">
      <c r="A55" s="49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52"/>
    </row>
    <row r="56" spans="1:71" ht="9" customHeight="1" x14ac:dyDescent="0.25">
      <c r="A56" s="48"/>
      <c r="B56" s="269" t="s">
        <v>255</v>
      </c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1"/>
      <c r="O56" s="128"/>
      <c r="P56" s="269" t="s">
        <v>256</v>
      </c>
      <c r="Q56" s="270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1"/>
      <c r="AC56" s="128"/>
      <c r="AD56" s="248" t="s">
        <v>257</v>
      </c>
      <c r="AE56" s="249"/>
      <c r="AF56" s="249"/>
      <c r="AG56" s="249"/>
      <c r="AH56" s="249"/>
      <c r="AI56" s="138"/>
      <c r="AJ56" s="138"/>
      <c r="AK56" s="138"/>
      <c r="AL56" s="138"/>
      <c r="AM56" s="138"/>
      <c r="AN56" s="138"/>
      <c r="AO56" s="138"/>
      <c r="AP56" s="139"/>
      <c r="AQ56" s="128"/>
      <c r="AR56" s="245" t="s">
        <v>258</v>
      </c>
      <c r="AS56" s="246"/>
      <c r="AT56" s="246"/>
      <c r="AU56" s="247"/>
      <c r="AV56" s="138"/>
      <c r="AW56" s="138"/>
      <c r="AX56" s="138"/>
      <c r="AY56" s="138"/>
      <c r="AZ56" s="138"/>
      <c r="BA56" s="138"/>
      <c r="BB56" s="138"/>
      <c r="BC56" s="138"/>
      <c r="BD56" s="139"/>
      <c r="BE56" s="128"/>
      <c r="BF56" s="245" t="s">
        <v>259</v>
      </c>
      <c r="BG56" s="246"/>
      <c r="BH56" s="246"/>
      <c r="BI56" s="247"/>
      <c r="BJ56" s="138"/>
      <c r="BK56" s="138"/>
      <c r="BL56" s="138"/>
      <c r="BM56" s="138"/>
      <c r="BN56" s="138"/>
      <c r="BO56" s="138"/>
      <c r="BP56" s="138"/>
      <c r="BQ56" s="138"/>
      <c r="BR56" s="139"/>
      <c r="BS56" s="47"/>
    </row>
    <row r="57" spans="1:71" ht="9" customHeight="1" x14ac:dyDescent="0.25">
      <c r="A57" s="48"/>
      <c r="B57" s="272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4"/>
      <c r="O57" s="128"/>
      <c r="P57" s="272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4"/>
      <c r="AC57" s="128"/>
      <c r="AD57" s="127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9"/>
      <c r="AQ57" s="128"/>
      <c r="AR57" s="127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9"/>
      <c r="BE57" s="128"/>
      <c r="BF57" s="127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9"/>
      <c r="BS57" s="47"/>
    </row>
    <row r="58" spans="1:71" ht="9" customHeight="1" x14ac:dyDescent="0.25">
      <c r="A58" s="48"/>
      <c r="B58" s="127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9"/>
      <c r="O58" s="128"/>
      <c r="P58" s="127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9"/>
      <c r="AC58" s="128"/>
      <c r="AD58" s="127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9"/>
      <c r="AQ58" s="128"/>
      <c r="AR58" s="127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9"/>
      <c r="BE58" s="128"/>
      <c r="BF58" s="127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9"/>
      <c r="BS58" s="47"/>
    </row>
    <row r="59" spans="1:71" ht="9" customHeight="1" x14ac:dyDescent="0.25">
      <c r="A59" s="48"/>
      <c r="B59" s="127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9"/>
      <c r="O59" s="128"/>
      <c r="P59" s="127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9"/>
      <c r="AC59" s="128"/>
      <c r="AD59" s="127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9"/>
      <c r="AQ59" s="128"/>
      <c r="AR59" s="127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9"/>
      <c r="BE59" s="128"/>
      <c r="BF59" s="127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9"/>
      <c r="BS59" s="47"/>
    </row>
    <row r="60" spans="1:71" ht="9" customHeight="1" x14ac:dyDescent="0.25">
      <c r="A60" s="48"/>
      <c r="B60" s="127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9"/>
      <c r="O60" s="128"/>
      <c r="P60" s="127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9"/>
      <c r="AC60" s="128"/>
      <c r="AD60" s="127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9"/>
      <c r="AQ60" s="128"/>
      <c r="AR60" s="127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9"/>
      <c r="BE60" s="128"/>
      <c r="BF60" s="127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9"/>
      <c r="BS60" s="47"/>
    </row>
    <row r="61" spans="1:71" ht="9" customHeight="1" x14ac:dyDescent="0.25">
      <c r="A61" s="48"/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9"/>
      <c r="O61" s="128"/>
      <c r="P61" s="127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9"/>
      <c r="AC61" s="128"/>
      <c r="AD61" s="127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9"/>
      <c r="AQ61" s="128"/>
      <c r="AR61" s="127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9"/>
      <c r="BE61" s="128"/>
      <c r="BF61" s="127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9"/>
      <c r="BS61" s="47"/>
    </row>
    <row r="62" spans="1:71" ht="9" customHeight="1" x14ac:dyDescent="0.25">
      <c r="A62" s="48"/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9"/>
      <c r="O62" s="128"/>
      <c r="P62" s="127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9"/>
      <c r="AC62" s="128"/>
      <c r="AD62" s="127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9"/>
      <c r="AQ62" s="128"/>
      <c r="AR62" s="127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9"/>
      <c r="BE62" s="128"/>
      <c r="BF62" s="127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9"/>
      <c r="BS62" s="47"/>
    </row>
    <row r="63" spans="1:71" ht="9" customHeight="1" x14ac:dyDescent="0.25">
      <c r="A63" s="48"/>
      <c r="B63" s="127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9"/>
      <c r="O63" s="128"/>
      <c r="P63" s="127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9"/>
      <c r="AC63" s="128"/>
      <c r="AD63" s="127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9"/>
      <c r="AQ63" s="128"/>
      <c r="AR63" s="127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9"/>
      <c r="BE63" s="128"/>
      <c r="BF63" s="127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9"/>
      <c r="BS63" s="47"/>
    </row>
    <row r="64" spans="1:71" ht="9" customHeight="1" x14ac:dyDescent="0.25">
      <c r="A64" s="48"/>
      <c r="B64" s="275" t="s">
        <v>260</v>
      </c>
      <c r="C64" s="275"/>
      <c r="D64" s="275"/>
      <c r="E64" s="275"/>
      <c r="F64" s="275"/>
      <c r="G64" s="275"/>
      <c r="H64" s="275"/>
      <c r="I64" s="275"/>
      <c r="J64" s="275"/>
      <c r="K64" s="275"/>
      <c r="L64" s="275"/>
      <c r="M64" s="258"/>
      <c r="N64" s="258"/>
      <c r="O64" s="258"/>
      <c r="P64" s="127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9"/>
      <c r="AC64" s="128"/>
      <c r="AD64" s="127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9"/>
      <c r="AQ64" s="128"/>
      <c r="AR64" s="127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9"/>
      <c r="BE64" s="128"/>
      <c r="BF64" s="127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9"/>
      <c r="BS64" s="47"/>
    </row>
    <row r="65" spans="1:71" ht="9" customHeight="1" x14ac:dyDescent="0.25">
      <c r="A65" s="48"/>
      <c r="B65" s="265" t="s">
        <v>261</v>
      </c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58"/>
      <c r="N65" s="258"/>
      <c r="O65" s="258"/>
      <c r="P65" s="127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9"/>
      <c r="AC65" s="128"/>
      <c r="AD65" s="127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9"/>
      <c r="AQ65" s="128"/>
      <c r="AR65" s="133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28"/>
      <c r="BF65" s="133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5"/>
      <c r="BS65" s="47"/>
    </row>
    <row r="66" spans="1:71" ht="9" customHeight="1" x14ac:dyDescent="0.25">
      <c r="A66" s="48"/>
      <c r="B66" s="265" t="s">
        <v>262</v>
      </c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58"/>
      <c r="N66" s="258"/>
      <c r="O66" s="258"/>
      <c r="P66" s="259" t="s">
        <v>263</v>
      </c>
      <c r="Q66" s="260"/>
      <c r="R66" s="260"/>
      <c r="S66" s="260"/>
      <c r="T66" s="260"/>
      <c r="U66" s="260"/>
      <c r="V66" s="260"/>
      <c r="W66" s="260"/>
      <c r="X66" s="260"/>
      <c r="Y66" s="261"/>
      <c r="Z66" s="262"/>
      <c r="AA66" s="263"/>
      <c r="AB66" s="264"/>
      <c r="AC66" s="128"/>
      <c r="AD66" s="242" t="s">
        <v>264</v>
      </c>
      <c r="AE66" s="243"/>
      <c r="AF66" s="243"/>
      <c r="AG66" s="243"/>
      <c r="AH66" s="243"/>
      <c r="AI66" s="243"/>
      <c r="AJ66" s="243"/>
      <c r="AK66" s="243"/>
      <c r="AL66" s="243"/>
      <c r="AM66" s="243"/>
      <c r="AN66" s="243"/>
      <c r="AO66" s="243"/>
      <c r="AP66" s="244"/>
      <c r="AQ66" s="128"/>
      <c r="AR66" s="242" t="s">
        <v>265</v>
      </c>
      <c r="AS66" s="243"/>
      <c r="AT66" s="243"/>
      <c r="AU66" s="243"/>
      <c r="AV66" s="243"/>
      <c r="AW66" s="243"/>
      <c r="AX66" s="244"/>
      <c r="AY66" s="251" t="s">
        <v>232</v>
      </c>
      <c r="AZ66" s="251"/>
      <c r="BA66" s="251"/>
      <c r="BB66" s="251"/>
      <c r="BC66" s="251"/>
      <c r="BD66" s="251"/>
      <c r="BE66" s="128"/>
      <c r="BF66" s="242" t="s">
        <v>266</v>
      </c>
      <c r="BG66" s="243"/>
      <c r="BH66" s="243"/>
      <c r="BI66" s="243"/>
      <c r="BJ66" s="243"/>
      <c r="BK66" s="243"/>
      <c r="BL66" s="243"/>
      <c r="BM66" s="243"/>
      <c r="BN66" s="243"/>
      <c r="BO66" s="243"/>
      <c r="BP66" s="243"/>
      <c r="BQ66" s="243"/>
      <c r="BR66" s="244"/>
      <c r="BS66" s="47"/>
    </row>
    <row r="67" spans="1:71" ht="9" customHeight="1" x14ac:dyDescent="0.25">
      <c r="A67" s="48"/>
      <c r="B67" s="265" t="s">
        <v>267</v>
      </c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58"/>
      <c r="N67" s="258"/>
      <c r="O67" s="258"/>
      <c r="P67" s="259" t="s">
        <v>268</v>
      </c>
      <c r="Q67" s="260"/>
      <c r="R67" s="260"/>
      <c r="S67" s="260"/>
      <c r="T67" s="260"/>
      <c r="U67" s="260"/>
      <c r="V67" s="260"/>
      <c r="W67" s="260"/>
      <c r="X67" s="260"/>
      <c r="Y67" s="261"/>
      <c r="Z67" s="262"/>
      <c r="AA67" s="263"/>
      <c r="AB67" s="264"/>
      <c r="AC67" s="128"/>
      <c r="AD67" s="242"/>
      <c r="AE67" s="243"/>
      <c r="AF67" s="243"/>
      <c r="AG67" s="243"/>
      <c r="AH67" s="243"/>
      <c r="AI67" s="243"/>
      <c r="AJ67" s="244"/>
      <c r="AK67" s="251" t="s">
        <v>232</v>
      </c>
      <c r="AL67" s="251"/>
      <c r="AM67" s="251"/>
      <c r="AN67" s="251"/>
      <c r="AO67" s="251"/>
      <c r="AP67" s="251"/>
      <c r="AQ67" s="128"/>
      <c r="AR67" s="239" t="s">
        <v>250</v>
      </c>
      <c r="AS67" s="239"/>
      <c r="AT67" s="239"/>
      <c r="AU67" s="239"/>
      <c r="AV67" s="239"/>
      <c r="AW67" s="239"/>
      <c r="AX67" s="239"/>
      <c r="AY67" s="256">
        <f>CEILING(2757*B3,1)</f>
        <v>5239</v>
      </c>
      <c r="AZ67" s="256"/>
      <c r="BA67" s="256"/>
      <c r="BB67" s="240"/>
      <c r="BC67" s="240"/>
      <c r="BD67" s="240"/>
      <c r="BE67" s="128"/>
      <c r="BF67" s="266"/>
      <c r="BG67" s="267"/>
      <c r="BH67" s="267"/>
      <c r="BI67" s="267"/>
      <c r="BJ67" s="267"/>
      <c r="BK67" s="267"/>
      <c r="BL67" s="268"/>
      <c r="BM67" s="251" t="s">
        <v>232</v>
      </c>
      <c r="BN67" s="251"/>
      <c r="BO67" s="251"/>
      <c r="BP67" s="251"/>
      <c r="BQ67" s="251"/>
      <c r="BR67" s="251"/>
      <c r="BS67" s="47"/>
    </row>
    <row r="68" spans="1:71" ht="9" customHeight="1" x14ac:dyDescent="0.25">
      <c r="A68" s="48"/>
      <c r="B68" s="257" t="s">
        <v>269</v>
      </c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8"/>
      <c r="N68" s="258"/>
      <c r="O68" s="258"/>
      <c r="P68" s="259" t="s">
        <v>270</v>
      </c>
      <c r="Q68" s="260"/>
      <c r="R68" s="260"/>
      <c r="S68" s="260"/>
      <c r="T68" s="260"/>
      <c r="U68" s="260"/>
      <c r="V68" s="260"/>
      <c r="W68" s="260"/>
      <c r="X68" s="260"/>
      <c r="Y68" s="261"/>
      <c r="Z68" s="262"/>
      <c r="AA68" s="263"/>
      <c r="AB68" s="264"/>
      <c r="AC68" s="141"/>
      <c r="AD68" s="239" t="s">
        <v>254</v>
      </c>
      <c r="AE68" s="239"/>
      <c r="AF68" s="239"/>
      <c r="AG68" s="239"/>
      <c r="AH68" s="239"/>
      <c r="AI68" s="239"/>
      <c r="AJ68" s="239"/>
      <c r="AK68" s="240">
        <f>CEILING(2768*B3,1)</f>
        <v>5260</v>
      </c>
      <c r="AL68" s="240"/>
      <c r="AM68" s="240"/>
      <c r="AN68" s="240"/>
      <c r="AO68" s="240"/>
      <c r="AP68" s="240"/>
      <c r="AQ68" s="74"/>
      <c r="AR68" s="239" t="s">
        <v>254</v>
      </c>
      <c r="AS68" s="239"/>
      <c r="AT68" s="239"/>
      <c r="AU68" s="239"/>
      <c r="AV68" s="239"/>
      <c r="AW68" s="239"/>
      <c r="AX68" s="239"/>
      <c r="AY68" s="256">
        <f>CEILING(2757*B3,1)</f>
        <v>5239</v>
      </c>
      <c r="AZ68" s="256"/>
      <c r="BA68" s="256"/>
      <c r="BB68" s="240"/>
      <c r="BC68" s="240"/>
      <c r="BD68" s="240"/>
      <c r="BE68" s="74"/>
      <c r="BF68" s="239" t="s">
        <v>254</v>
      </c>
      <c r="BG68" s="239"/>
      <c r="BH68" s="239"/>
      <c r="BI68" s="239"/>
      <c r="BJ68" s="239"/>
      <c r="BK68" s="239"/>
      <c r="BL68" s="239"/>
      <c r="BM68" s="240">
        <f>CEILING(2850*B3,1)</f>
        <v>5415</v>
      </c>
      <c r="BN68" s="240"/>
      <c r="BO68" s="240"/>
      <c r="BP68" s="240"/>
      <c r="BQ68" s="240"/>
      <c r="BR68" s="240"/>
      <c r="BS68" s="47"/>
    </row>
    <row r="69" spans="1:71" ht="1.5" customHeight="1" x14ac:dyDescent="0.25">
      <c r="A69" s="4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47"/>
    </row>
    <row r="70" spans="1:71" ht="9" customHeight="1" x14ac:dyDescent="0.25">
      <c r="A70" s="48"/>
      <c r="B70" s="245" t="s">
        <v>271</v>
      </c>
      <c r="C70" s="246"/>
      <c r="D70" s="246"/>
      <c r="E70" s="247"/>
      <c r="F70" s="248" t="s">
        <v>272</v>
      </c>
      <c r="G70" s="249"/>
      <c r="H70" s="249"/>
      <c r="I70" s="249"/>
      <c r="J70" s="249"/>
      <c r="K70" s="249"/>
      <c r="L70" s="249"/>
      <c r="M70" s="249"/>
      <c r="N70" s="250"/>
      <c r="O70" s="128"/>
      <c r="P70" s="142" t="s">
        <v>273</v>
      </c>
      <c r="Q70" s="143"/>
      <c r="R70" s="143"/>
      <c r="S70" s="143"/>
      <c r="T70" s="143" t="s">
        <v>274</v>
      </c>
      <c r="U70" s="143"/>
      <c r="V70" s="143"/>
      <c r="W70" s="143"/>
      <c r="X70" s="143"/>
      <c r="Y70" s="143"/>
      <c r="Z70" s="143"/>
      <c r="AA70" s="143"/>
      <c r="AB70" s="144"/>
      <c r="AC70" s="128"/>
      <c r="AD70" s="245" t="s">
        <v>275</v>
      </c>
      <c r="AE70" s="246"/>
      <c r="AF70" s="246"/>
      <c r="AG70" s="247"/>
      <c r="AH70" s="248" t="s">
        <v>274</v>
      </c>
      <c r="AI70" s="249"/>
      <c r="AJ70" s="249"/>
      <c r="AK70" s="249"/>
      <c r="AL70" s="249"/>
      <c r="AM70" s="249"/>
      <c r="AN70" s="249"/>
      <c r="AO70" s="249"/>
      <c r="AP70" s="250"/>
      <c r="AQ70" s="128"/>
      <c r="AR70" s="245" t="s">
        <v>276</v>
      </c>
      <c r="AS70" s="246"/>
      <c r="AT70" s="246"/>
      <c r="AU70" s="247"/>
      <c r="AV70" s="248" t="s">
        <v>274</v>
      </c>
      <c r="AW70" s="249"/>
      <c r="AX70" s="249"/>
      <c r="AY70" s="249"/>
      <c r="AZ70" s="249"/>
      <c r="BA70" s="249"/>
      <c r="BB70" s="249"/>
      <c r="BC70" s="249"/>
      <c r="BD70" s="250"/>
      <c r="BE70" s="128"/>
      <c r="BF70" s="245" t="s">
        <v>277</v>
      </c>
      <c r="BG70" s="246"/>
      <c r="BH70" s="246"/>
      <c r="BI70" s="247"/>
      <c r="BJ70" s="138"/>
      <c r="BK70" s="138"/>
      <c r="BL70" s="138"/>
      <c r="BM70" s="138"/>
      <c r="BN70" s="138"/>
      <c r="BO70" s="138"/>
      <c r="BP70" s="138"/>
      <c r="BQ70" s="138"/>
      <c r="BR70" s="139"/>
      <c r="BS70" s="47"/>
    </row>
    <row r="71" spans="1:71" ht="9" customHeight="1" x14ac:dyDescent="0.25">
      <c r="A71" s="48"/>
      <c r="B71" s="127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9"/>
      <c r="O71" s="128"/>
      <c r="P71" s="127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9"/>
      <c r="AC71" s="128"/>
      <c r="AD71" s="127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9"/>
      <c r="AQ71" s="128"/>
      <c r="AR71" s="127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9"/>
      <c r="BE71" s="128"/>
      <c r="BF71" s="127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9"/>
      <c r="BS71" s="47"/>
    </row>
    <row r="72" spans="1:71" ht="9" customHeight="1" x14ac:dyDescent="0.25">
      <c r="A72" s="48"/>
      <c r="B72" s="127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9"/>
      <c r="O72" s="128"/>
      <c r="P72" s="127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9"/>
      <c r="AC72" s="128"/>
      <c r="AD72" s="127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9"/>
      <c r="AQ72" s="128"/>
      <c r="AR72" s="127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9"/>
      <c r="BE72" s="128"/>
      <c r="BF72" s="127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9"/>
      <c r="BS72" s="47"/>
    </row>
    <row r="73" spans="1:71" ht="9" customHeight="1" x14ac:dyDescent="0.25">
      <c r="A73" s="48"/>
      <c r="B73" s="127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9"/>
      <c r="O73" s="128"/>
      <c r="P73" s="127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9"/>
      <c r="AC73" s="128"/>
      <c r="AD73" s="127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9"/>
      <c r="AQ73" s="128"/>
      <c r="AR73" s="127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9"/>
      <c r="BE73" s="128"/>
      <c r="BF73" s="127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9"/>
      <c r="BS73" s="47"/>
    </row>
    <row r="74" spans="1:71" ht="9" customHeight="1" x14ac:dyDescent="0.25">
      <c r="A74" s="48"/>
      <c r="B74" s="127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9"/>
      <c r="O74" s="128"/>
      <c r="P74" s="127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9"/>
      <c r="AC74" s="128"/>
      <c r="AD74" s="127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9"/>
      <c r="AQ74" s="128"/>
      <c r="AR74" s="127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9"/>
      <c r="BE74" s="128"/>
      <c r="BF74" s="127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9"/>
      <c r="BS74" s="47"/>
    </row>
    <row r="75" spans="1:71" ht="9" customHeight="1" x14ac:dyDescent="0.25">
      <c r="A75" s="48"/>
      <c r="B75" s="127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9"/>
      <c r="O75" s="128"/>
      <c r="P75" s="127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9"/>
      <c r="AC75" s="128"/>
      <c r="AD75" s="127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9"/>
      <c r="AQ75" s="128"/>
      <c r="AR75" s="127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9"/>
      <c r="BE75" s="128"/>
      <c r="BF75" s="127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9"/>
      <c r="BS75" s="47"/>
    </row>
    <row r="76" spans="1:71" ht="9" customHeight="1" x14ac:dyDescent="0.25">
      <c r="A76" s="48"/>
      <c r="B76" s="127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9"/>
      <c r="O76" s="128"/>
      <c r="P76" s="127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9"/>
      <c r="AC76" s="128"/>
      <c r="AD76" s="127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9"/>
      <c r="AQ76" s="128"/>
      <c r="AR76" s="127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9"/>
      <c r="BE76" s="128"/>
      <c r="BF76" s="127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9"/>
      <c r="BS76" s="47"/>
    </row>
    <row r="77" spans="1:71" ht="9" customHeight="1" x14ac:dyDescent="0.25">
      <c r="A77" s="48"/>
      <c r="B77" s="127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9"/>
      <c r="O77" s="128"/>
      <c r="P77" s="127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9"/>
      <c r="AC77" s="128"/>
      <c r="AD77" s="127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9"/>
      <c r="AQ77" s="128"/>
      <c r="AR77" s="127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9"/>
      <c r="BE77" s="128"/>
      <c r="BF77" s="127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9"/>
      <c r="BS77" s="47"/>
    </row>
    <row r="78" spans="1:71" ht="9" customHeight="1" x14ac:dyDescent="0.25">
      <c r="A78" s="48"/>
      <c r="B78" s="127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9"/>
      <c r="O78" s="128"/>
      <c r="P78" s="127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9"/>
      <c r="AC78" s="128"/>
      <c r="AD78" s="127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9"/>
      <c r="AQ78" s="128"/>
      <c r="AR78" s="127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9"/>
      <c r="BE78" s="128"/>
      <c r="BF78" s="127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9"/>
      <c r="BS78" s="47"/>
    </row>
    <row r="79" spans="1:71" ht="9" customHeight="1" x14ac:dyDescent="0.25">
      <c r="A79" s="48"/>
      <c r="B79" s="127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9"/>
      <c r="O79" s="128"/>
      <c r="P79" s="242" t="s">
        <v>278</v>
      </c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4"/>
      <c r="AC79" s="128"/>
      <c r="AD79" s="242" t="s">
        <v>278</v>
      </c>
      <c r="AE79" s="243"/>
      <c r="AF79" s="243"/>
      <c r="AG79" s="243"/>
      <c r="AH79" s="243"/>
      <c r="AI79" s="243"/>
      <c r="AJ79" s="243"/>
      <c r="AK79" s="243"/>
      <c r="AL79" s="243"/>
      <c r="AM79" s="243"/>
      <c r="AN79" s="243"/>
      <c r="AO79" s="243"/>
      <c r="AP79" s="244"/>
      <c r="AQ79" s="128"/>
      <c r="AR79" s="242" t="s">
        <v>278</v>
      </c>
      <c r="AS79" s="243"/>
      <c r="AT79" s="243"/>
      <c r="AU79" s="243"/>
      <c r="AV79" s="243"/>
      <c r="AW79" s="243"/>
      <c r="AX79" s="243"/>
      <c r="AY79" s="243"/>
      <c r="AZ79" s="243"/>
      <c r="BA79" s="243"/>
      <c r="BB79" s="243"/>
      <c r="BC79" s="243"/>
      <c r="BD79" s="244"/>
      <c r="BE79" s="128"/>
      <c r="BF79" s="127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9"/>
      <c r="BS79" s="47"/>
    </row>
    <row r="80" spans="1:71" ht="9" customHeight="1" x14ac:dyDescent="0.25">
      <c r="A80" s="48"/>
      <c r="B80" s="242" t="s">
        <v>279</v>
      </c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4"/>
      <c r="O80" s="128"/>
      <c r="P80" s="252" t="s">
        <v>280</v>
      </c>
      <c r="Q80" s="253"/>
      <c r="R80" s="253"/>
      <c r="S80" s="253"/>
      <c r="T80" s="253"/>
      <c r="U80" s="253"/>
      <c r="V80" s="253"/>
      <c r="W80" s="253"/>
      <c r="X80" s="253"/>
      <c r="Y80" s="253"/>
      <c r="Z80" s="253"/>
      <c r="AA80" s="253"/>
      <c r="AB80" s="254"/>
      <c r="AC80" s="128"/>
      <c r="AD80" s="133"/>
      <c r="AE80" s="134"/>
      <c r="AF80" s="134"/>
      <c r="AG80" s="255" t="s">
        <v>281</v>
      </c>
      <c r="AH80" s="255"/>
      <c r="AI80" s="251" t="s">
        <v>282</v>
      </c>
      <c r="AJ80" s="251"/>
      <c r="AK80" s="251" t="s">
        <v>283</v>
      </c>
      <c r="AL80" s="251"/>
      <c r="AM80" s="251" t="s">
        <v>284</v>
      </c>
      <c r="AN80" s="251"/>
      <c r="AO80" s="251" t="s">
        <v>285</v>
      </c>
      <c r="AP80" s="251"/>
      <c r="AQ80" s="128"/>
      <c r="AR80" s="255" t="s">
        <v>280</v>
      </c>
      <c r="AS80" s="255"/>
      <c r="AT80" s="255"/>
      <c r="AU80" s="255"/>
      <c r="AV80" s="255"/>
      <c r="AW80" s="255"/>
      <c r="AX80" s="255"/>
      <c r="AY80" s="255"/>
      <c r="AZ80" s="255"/>
      <c r="BA80" s="255"/>
      <c r="BB80" s="255"/>
      <c r="BC80" s="255"/>
      <c r="BD80" s="255"/>
      <c r="BE80" s="128"/>
      <c r="BF80" s="127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9"/>
      <c r="BS80" s="47"/>
    </row>
    <row r="81" spans="1:71" ht="9" customHeight="1" x14ac:dyDescent="0.25">
      <c r="A81" s="48"/>
      <c r="B81" s="242" t="s">
        <v>286</v>
      </c>
      <c r="C81" s="243"/>
      <c r="D81" s="243"/>
      <c r="E81" s="243"/>
      <c r="F81" s="243"/>
      <c r="G81" s="243"/>
      <c r="H81" s="244"/>
      <c r="I81" s="251" t="s">
        <v>287</v>
      </c>
      <c r="J81" s="251"/>
      <c r="K81" s="251"/>
      <c r="L81" s="251" t="s">
        <v>288</v>
      </c>
      <c r="M81" s="251"/>
      <c r="N81" s="251"/>
      <c r="O81" s="128"/>
      <c r="P81" s="241" t="s">
        <v>289</v>
      </c>
      <c r="Q81" s="241"/>
      <c r="R81" s="241"/>
      <c r="S81" s="241"/>
      <c r="T81" s="241"/>
      <c r="U81" s="241"/>
      <c r="V81" s="241"/>
      <c r="W81" s="241"/>
      <c r="X81" s="241"/>
      <c r="Y81" s="241"/>
      <c r="Z81" s="240">
        <f>CEILING(1013*B3,1)</f>
        <v>1925</v>
      </c>
      <c r="AA81" s="240"/>
      <c r="AB81" s="240"/>
      <c r="AC81" s="74"/>
      <c r="AD81" s="241" t="s">
        <v>289</v>
      </c>
      <c r="AE81" s="241"/>
      <c r="AF81" s="241"/>
      <c r="AG81" s="241"/>
      <c r="AH81" s="241"/>
      <c r="AI81" s="241"/>
      <c r="AJ81" s="241"/>
      <c r="AK81" s="241"/>
      <c r="AL81" s="241"/>
      <c r="AM81" s="241"/>
      <c r="AN81" s="240">
        <f>CEILING(737*B3,1)</f>
        <v>1401</v>
      </c>
      <c r="AO81" s="240"/>
      <c r="AP81" s="240"/>
      <c r="AQ81" s="74"/>
      <c r="AR81" s="241" t="s">
        <v>289</v>
      </c>
      <c r="AS81" s="241"/>
      <c r="AT81" s="241"/>
      <c r="AU81" s="241"/>
      <c r="AV81" s="241"/>
      <c r="AW81" s="241"/>
      <c r="AX81" s="241"/>
      <c r="AY81" s="241"/>
      <c r="AZ81" s="241"/>
      <c r="BA81" s="241"/>
      <c r="BB81" s="240">
        <f>CEILING(978*B3,1)</f>
        <v>1859</v>
      </c>
      <c r="BC81" s="240"/>
      <c r="BD81" s="240"/>
      <c r="BE81" s="128"/>
      <c r="BF81" s="242" t="s">
        <v>290</v>
      </c>
      <c r="BG81" s="243"/>
      <c r="BH81" s="243"/>
      <c r="BI81" s="243"/>
      <c r="BJ81" s="243"/>
      <c r="BK81" s="243"/>
      <c r="BL81" s="243"/>
      <c r="BM81" s="243"/>
      <c r="BN81" s="243"/>
      <c r="BO81" s="243"/>
      <c r="BP81" s="243"/>
      <c r="BQ81" s="243"/>
      <c r="BR81" s="244"/>
      <c r="BS81" s="47"/>
    </row>
    <row r="82" spans="1:71" ht="9" customHeight="1" x14ac:dyDescent="0.25">
      <c r="A82" s="48"/>
      <c r="B82" s="239" t="s">
        <v>291</v>
      </c>
      <c r="C82" s="239"/>
      <c r="D82" s="239"/>
      <c r="E82" s="239"/>
      <c r="F82" s="239"/>
      <c r="G82" s="239"/>
      <c r="H82" s="239"/>
      <c r="I82" s="240">
        <f>CEILING(2834*B3,1)</f>
        <v>5385</v>
      </c>
      <c r="J82" s="240"/>
      <c r="K82" s="240"/>
      <c r="L82" s="240">
        <f>CEILING(14170*B3,1)</f>
        <v>26923</v>
      </c>
      <c r="M82" s="240"/>
      <c r="N82" s="240"/>
      <c r="O82" s="74"/>
      <c r="P82" s="241" t="s">
        <v>292</v>
      </c>
      <c r="Q82" s="241"/>
      <c r="R82" s="241"/>
      <c r="S82" s="241"/>
      <c r="T82" s="241"/>
      <c r="U82" s="241"/>
      <c r="V82" s="241"/>
      <c r="W82" s="241"/>
      <c r="X82" s="241"/>
      <c r="Y82" s="241"/>
      <c r="Z82" s="240">
        <f>CEILING(1086*B3,1)</f>
        <v>2064</v>
      </c>
      <c r="AA82" s="240"/>
      <c r="AB82" s="240"/>
      <c r="AC82" s="74"/>
      <c r="AD82" s="241" t="s">
        <v>292</v>
      </c>
      <c r="AE82" s="241"/>
      <c r="AF82" s="241"/>
      <c r="AG82" s="241"/>
      <c r="AH82" s="241"/>
      <c r="AI82" s="241"/>
      <c r="AJ82" s="241"/>
      <c r="AK82" s="241"/>
      <c r="AL82" s="241"/>
      <c r="AM82" s="241"/>
      <c r="AN82" s="240">
        <f>CEILING(811*B3,1)</f>
        <v>1541</v>
      </c>
      <c r="AO82" s="240"/>
      <c r="AP82" s="240"/>
      <c r="AQ82" s="74"/>
      <c r="AR82" s="241" t="s">
        <v>292</v>
      </c>
      <c r="AS82" s="241"/>
      <c r="AT82" s="241"/>
      <c r="AU82" s="241"/>
      <c r="AV82" s="241"/>
      <c r="AW82" s="241"/>
      <c r="AX82" s="241"/>
      <c r="AY82" s="241"/>
      <c r="AZ82" s="241"/>
      <c r="BA82" s="241"/>
      <c r="BB82" s="240">
        <f>CEILING(1054*B3,1)</f>
        <v>2003</v>
      </c>
      <c r="BC82" s="240"/>
      <c r="BD82" s="240"/>
      <c r="BE82" s="74"/>
      <c r="BF82" s="240" t="s">
        <v>293</v>
      </c>
      <c r="BG82" s="240"/>
      <c r="BH82" s="240"/>
      <c r="BI82" s="240"/>
      <c r="BJ82" s="240"/>
      <c r="BK82" s="240"/>
      <c r="BL82" s="240"/>
      <c r="BM82" s="240"/>
      <c r="BN82" s="240"/>
      <c r="BO82" s="240"/>
      <c r="BP82" s="240">
        <f>CEILING(4294*B3,1)</f>
        <v>8159</v>
      </c>
      <c r="BQ82" s="240"/>
      <c r="BR82" s="240"/>
      <c r="BS82" s="47"/>
    </row>
    <row r="83" spans="1:71" ht="1.5" customHeight="1" x14ac:dyDescent="0.25">
      <c r="A83" s="4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  <c r="BR83" s="128"/>
      <c r="BS83" s="47"/>
    </row>
    <row r="84" spans="1:71" ht="9" customHeight="1" x14ac:dyDescent="0.25">
      <c r="A84" s="48"/>
      <c r="B84" s="245" t="s">
        <v>294</v>
      </c>
      <c r="C84" s="246"/>
      <c r="D84" s="246"/>
      <c r="E84" s="246"/>
      <c r="F84" s="246"/>
      <c r="G84" s="246"/>
      <c r="H84" s="247"/>
      <c r="I84" s="138"/>
      <c r="J84" s="138"/>
      <c r="K84" s="138"/>
      <c r="L84" s="138"/>
      <c r="M84" s="138"/>
      <c r="N84" s="139"/>
      <c r="O84" s="128"/>
      <c r="P84" s="245" t="s">
        <v>295</v>
      </c>
      <c r="Q84" s="246"/>
      <c r="R84" s="246"/>
      <c r="S84" s="246"/>
      <c r="T84" s="246"/>
      <c r="U84" s="246"/>
      <c r="V84" s="247"/>
      <c r="W84" s="138"/>
      <c r="X84" s="138"/>
      <c r="Y84" s="138"/>
      <c r="Z84" s="138"/>
      <c r="AA84" s="138"/>
      <c r="AB84" s="139"/>
      <c r="AC84" s="128"/>
      <c r="AD84" s="245" t="s">
        <v>296</v>
      </c>
      <c r="AE84" s="246"/>
      <c r="AF84" s="246"/>
      <c r="AG84" s="247"/>
      <c r="AH84" s="143"/>
      <c r="AI84" s="143"/>
      <c r="AJ84" s="143"/>
      <c r="AK84" s="138"/>
      <c r="AL84" s="138"/>
      <c r="AM84" s="138"/>
      <c r="AN84" s="138"/>
      <c r="AO84" s="138"/>
      <c r="AP84" s="139"/>
      <c r="AQ84" s="128"/>
      <c r="AR84" s="245" t="s">
        <v>297</v>
      </c>
      <c r="AS84" s="246"/>
      <c r="AT84" s="246"/>
      <c r="AU84" s="247"/>
      <c r="AV84" s="248" t="s">
        <v>298</v>
      </c>
      <c r="AW84" s="249"/>
      <c r="AX84" s="249"/>
      <c r="AY84" s="249"/>
      <c r="AZ84" s="249"/>
      <c r="BA84" s="249"/>
      <c r="BB84" s="249"/>
      <c r="BC84" s="249"/>
      <c r="BD84" s="250"/>
      <c r="BE84" s="128"/>
      <c r="BF84" s="245" t="s">
        <v>299</v>
      </c>
      <c r="BG84" s="246"/>
      <c r="BH84" s="246"/>
      <c r="BI84" s="247"/>
      <c r="BJ84" s="143"/>
      <c r="BK84" s="143"/>
      <c r="BL84" s="143"/>
      <c r="BM84" s="138"/>
      <c r="BN84" s="138"/>
      <c r="BO84" s="138"/>
      <c r="BP84" s="138"/>
      <c r="BQ84" s="138"/>
      <c r="BR84" s="139"/>
      <c r="BS84" s="47"/>
    </row>
    <row r="85" spans="1:71" ht="9" customHeight="1" x14ac:dyDescent="0.25">
      <c r="A85" s="48"/>
      <c r="B85" s="127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9"/>
      <c r="O85" s="128"/>
      <c r="P85" s="127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9"/>
      <c r="AC85" s="128"/>
      <c r="AD85" s="127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9"/>
      <c r="AQ85" s="128"/>
      <c r="AR85" s="127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9"/>
      <c r="BE85" s="128"/>
      <c r="BF85" s="127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9"/>
      <c r="BS85" s="47"/>
    </row>
    <row r="86" spans="1:71" ht="9" customHeight="1" x14ac:dyDescent="0.25">
      <c r="A86" s="48"/>
      <c r="B86" s="127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9"/>
      <c r="O86" s="128"/>
      <c r="P86" s="127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9"/>
      <c r="AC86" s="128"/>
      <c r="AD86" s="127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9"/>
      <c r="AQ86" s="128"/>
      <c r="AR86" s="127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9"/>
      <c r="BE86" s="128"/>
      <c r="BF86" s="127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9"/>
      <c r="BS86" s="47"/>
    </row>
    <row r="87" spans="1:71" ht="9" customHeight="1" x14ac:dyDescent="0.25">
      <c r="A87" s="48"/>
      <c r="B87" s="127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9"/>
      <c r="O87" s="128"/>
      <c r="P87" s="127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9"/>
      <c r="AC87" s="128"/>
      <c r="AD87" s="127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9"/>
      <c r="AQ87" s="128"/>
      <c r="AR87" s="127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9"/>
      <c r="BE87" s="128"/>
      <c r="BF87" s="127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9"/>
      <c r="BS87" s="47"/>
    </row>
    <row r="88" spans="1:71" ht="9" customHeight="1" x14ac:dyDescent="0.25">
      <c r="A88" s="48"/>
      <c r="B88" s="127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9"/>
      <c r="O88" s="128"/>
      <c r="P88" s="127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9"/>
      <c r="AC88" s="128"/>
      <c r="AD88" s="127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9"/>
      <c r="AQ88" s="128"/>
      <c r="AR88" s="127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9"/>
      <c r="BE88" s="128"/>
      <c r="BF88" s="127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9"/>
      <c r="BS88" s="47"/>
    </row>
    <row r="89" spans="1:71" ht="9" customHeight="1" x14ac:dyDescent="0.25">
      <c r="A89" s="48"/>
      <c r="B89" s="127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9"/>
      <c r="O89" s="128"/>
      <c r="P89" s="127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9"/>
      <c r="AC89" s="128"/>
      <c r="AD89" s="127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9"/>
      <c r="AQ89" s="128"/>
      <c r="AR89" s="127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9"/>
      <c r="BE89" s="128"/>
      <c r="BF89" s="127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9"/>
      <c r="BS89" s="47"/>
    </row>
    <row r="90" spans="1:71" ht="9" customHeight="1" x14ac:dyDescent="0.25">
      <c r="A90" s="48"/>
      <c r="B90" s="127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9"/>
      <c r="O90" s="128"/>
      <c r="P90" s="127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9"/>
      <c r="AC90" s="128"/>
      <c r="AD90" s="127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9"/>
      <c r="AQ90" s="128"/>
      <c r="AR90" s="127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9"/>
      <c r="BE90" s="128"/>
      <c r="BF90" s="127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9"/>
      <c r="BS90" s="47"/>
    </row>
    <row r="91" spans="1:71" ht="9" customHeight="1" x14ac:dyDescent="0.25">
      <c r="A91" s="48"/>
      <c r="B91" s="127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9"/>
      <c r="O91" s="128"/>
      <c r="P91" s="127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9"/>
      <c r="AC91" s="128"/>
      <c r="AD91" s="127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9"/>
      <c r="AQ91" s="128"/>
      <c r="AR91" s="127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9"/>
      <c r="BE91" s="128"/>
      <c r="BF91" s="127"/>
      <c r="BG91" s="128"/>
      <c r="BH91" s="128"/>
      <c r="BI91" s="128"/>
      <c r="BJ91" s="128"/>
      <c r="BK91" s="128"/>
      <c r="BL91" s="128"/>
      <c r="BM91" s="128"/>
      <c r="BN91" s="128"/>
      <c r="BO91" s="128"/>
      <c r="BP91" s="128"/>
      <c r="BQ91" s="128"/>
      <c r="BR91" s="129"/>
      <c r="BS91" s="47"/>
    </row>
    <row r="92" spans="1:71" ht="9" customHeight="1" x14ac:dyDescent="0.25">
      <c r="A92" s="48"/>
      <c r="B92" s="127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9"/>
      <c r="O92" s="128"/>
      <c r="P92" s="127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9"/>
      <c r="AC92" s="128"/>
      <c r="AD92" s="127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9"/>
      <c r="AQ92" s="128"/>
      <c r="AR92" s="127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9"/>
      <c r="BE92" s="128"/>
      <c r="BF92" s="127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9"/>
      <c r="BS92" s="47"/>
    </row>
    <row r="93" spans="1:71" ht="9" customHeight="1" x14ac:dyDescent="0.25">
      <c r="A93" s="48"/>
      <c r="B93" s="127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9"/>
      <c r="O93" s="128"/>
      <c r="P93" s="127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9"/>
      <c r="AC93" s="128"/>
      <c r="AD93" s="127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9"/>
      <c r="AQ93" s="128"/>
      <c r="AR93" s="242"/>
      <c r="AS93" s="243"/>
      <c r="AT93" s="243"/>
      <c r="AU93" s="243"/>
      <c r="AV93" s="243"/>
      <c r="AW93" s="243"/>
      <c r="AX93" s="243"/>
      <c r="AY93" s="243"/>
      <c r="AZ93" s="243"/>
      <c r="BA93" s="243"/>
      <c r="BB93" s="243"/>
      <c r="BC93" s="243"/>
      <c r="BD93" s="244"/>
      <c r="BE93" s="128"/>
      <c r="BF93" s="127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9"/>
      <c r="BS93" s="47"/>
    </row>
    <row r="94" spans="1:71" ht="9" customHeight="1" x14ac:dyDescent="0.25">
      <c r="A94" s="48"/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9"/>
      <c r="O94" s="128"/>
      <c r="P94" s="127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9"/>
      <c r="AC94" s="128"/>
      <c r="AD94" s="242" t="s">
        <v>10</v>
      </c>
      <c r="AE94" s="243"/>
      <c r="AF94" s="243"/>
      <c r="AG94" s="243"/>
      <c r="AH94" s="243"/>
      <c r="AI94" s="243"/>
      <c r="AJ94" s="243"/>
      <c r="AK94" s="243"/>
      <c r="AL94" s="243"/>
      <c r="AM94" s="243"/>
      <c r="AN94" s="243"/>
      <c r="AO94" s="243"/>
      <c r="AP94" s="244"/>
      <c r="AQ94" s="128"/>
      <c r="AR94" s="242" t="s">
        <v>10</v>
      </c>
      <c r="AS94" s="243"/>
      <c r="AT94" s="243"/>
      <c r="AU94" s="243"/>
      <c r="AV94" s="243"/>
      <c r="AW94" s="243"/>
      <c r="AX94" s="243"/>
      <c r="AY94" s="243"/>
      <c r="AZ94" s="243"/>
      <c r="BA94" s="243"/>
      <c r="BB94" s="243"/>
      <c r="BC94" s="243"/>
      <c r="BD94" s="244"/>
      <c r="BE94" s="128"/>
      <c r="BF94" s="242" t="s">
        <v>10</v>
      </c>
      <c r="BG94" s="243"/>
      <c r="BH94" s="243"/>
      <c r="BI94" s="243"/>
      <c r="BJ94" s="243"/>
      <c r="BK94" s="243"/>
      <c r="BL94" s="243"/>
      <c r="BM94" s="243"/>
      <c r="BN94" s="243"/>
      <c r="BO94" s="243"/>
      <c r="BP94" s="243"/>
      <c r="BQ94" s="243"/>
      <c r="BR94" s="244"/>
      <c r="BS94" s="47"/>
    </row>
    <row r="95" spans="1:71" ht="9" customHeight="1" x14ac:dyDescent="0.25">
      <c r="A95" s="48"/>
      <c r="B95" s="242" t="s">
        <v>300</v>
      </c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4"/>
      <c r="O95" s="128"/>
      <c r="P95" s="242" t="s">
        <v>300</v>
      </c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4"/>
      <c r="AC95" s="128"/>
      <c r="AD95" s="239" t="s">
        <v>301</v>
      </c>
      <c r="AE95" s="239"/>
      <c r="AF95" s="239"/>
      <c r="AG95" s="239"/>
      <c r="AH95" s="239"/>
      <c r="AI95" s="239"/>
      <c r="AJ95" s="239"/>
      <c r="AK95" s="239"/>
      <c r="AL95" s="239"/>
      <c r="AM95" s="239"/>
      <c r="AN95" s="240">
        <f>CEILING(1467*B3,1)</f>
        <v>2788</v>
      </c>
      <c r="AO95" s="240"/>
      <c r="AP95" s="240"/>
      <c r="AQ95" s="74"/>
      <c r="AR95" s="239" t="s">
        <v>302</v>
      </c>
      <c r="AS95" s="239"/>
      <c r="AT95" s="239"/>
      <c r="AU95" s="239"/>
      <c r="AV95" s="239"/>
      <c r="AW95" s="239"/>
      <c r="AX95" s="239"/>
      <c r="AY95" s="239"/>
      <c r="AZ95" s="239"/>
      <c r="BA95" s="239"/>
      <c r="BB95" s="240">
        <f>CEILING(1426*B3,1)</f>
        <v>2710</v>
      </c>
      <c r="BC95" s="240"/>
      <c r="BD95" s="240"/>
      <c r="BE95" s="74"/>
      <c r="BF95" s="239" t="s">
        <v>303</v>
      </c>
      <c r="BG95" s="239"/>
      <c r="BH95" s="239"/>
      <c r="BI95" s="239"/>
      <c r="BJ95" s="239"/>
      <c r="BK95" s="239"/>
      <c r="BL95" s="239"/>
      <c r="BM95" s="239"/>
      <c r="BN95" s="239"/>
      <c r="BO95" s="239"/>
      <c r="BP95" s="240">
        <f>CEILING(655*B3,1)</f>
        <v>1245</v>
      </c>
      <c r="BQ95" s="240"/>
      <c r="BR95" s="240"/>
      <c r="BS95" s="47"/>
    </row>
    <row r="96" spans="1:71" ht="9" customHeight="1" x14ac:dyDescent="0.25">
      <c r="A96" s="48"/>
      <c r="B96" s="241" t="s">
        <v>304</v>
      </c>
      <c r="C96" s="241"/>
      <c r="D96" s="241"/>
      <c r="E96" s="241"/>
      <c r="F96" s="241"/>
      <c r="G96" s="241"/>
      <c r="H96" s="241"/>
      <c r="I96" s="241"/>
      <c r="J96" s="241"/>
      <c r="K96" s="241"/>
      <c r="L96" s="240">
        <f>CEILING(3039*B3,1)</f>
        <v>5775</v>
      </c>
      <c r="M96" s="240"/>
      <c r="N96" s="240"/>
      <c r="O96" s="75"/>
      <c r="P96" s="241" t="s">
        <v>305</v>
      </c>
      <c r="Q96" s="241"/>
      <c r="R96" s="241"/>
      <c r="S96" s="241"/>
      <c r="T96" s="241"/>
      <c r="U96" s="241"/>
      <c r="V96" s="241"/>
      <c r="W96" s="241"/>
      <c r="X96" s="241"/>
      <c r="Y96" s="241"/>
      <c r="Z96" s="240">
        <f>CEILING(1658*B3,1)</f>
        <v>3151</v>
      </c>
      <c r="AA96" s="240"/>
      <c r="AB96" s="240"/>
      <c r="AC96" s="145"/>
      <c r="AD96" s="239" t="s">
        <v>306</v>
      </c>
      <c r="AE96" s="239"/>
      <c r="AF96" s="239"/>
      <c r="AG96" s="239"/>
      <c r="AH96" s="239"/>
      <c r="AI96" s="239"/>
      <c r="AJ96" s="239"/>
      <c r="AK96" s="239"/>
      <c r="AL96" s="239"/>
      <c r="AM96" s="239"/>
      <c r="AN96" s="240">
        <f>CEILING(1521*B3,1)</f>
        <v>2890</v>
      </c>
      <c r="AO96" s="240"/>
      <c r="AP96" s="240"/>
      <c r="AQ96" s="74"/>
      <c r="AR96" s="239" t="s">
        <v>307</v>
      </c>
      <c r="AS96" s="239"/>
      <c r="AT96" s="239"/>
      <c r="AU96" s="239"/>
      <c r="AV96" s="239"/>
      <c r="AW96" s="239"/>
      <c r="AX96" s="239"/>
      <c r="AY96" s="239"/>
      <c r="AZ96" s="239"/>
      <c r="BA96" s="239"/>
      <c r="BB96" s="240">
        <f>CEILING(1630*B3,1)</f>
        <v>3097</v>
      </c>
      <c r="BC96" s="240"/>
      <c r="BD96" s="240"/>
      <c r="BE96" s="74"/>
      <c r="BF96" s="239" t="s">
        <v>308</v>
      </c>
      <c r="BG96" s="239"/>
      <c r="BH96" s="239"/>
      <c r="BI96" s="239"/>
      <c r="BJ96" s="239"/>
      <c r="BK96" s="239"/>
      <c r="BL96" s="239"/>
      <c r="BM96" s="239"/>
      <c r="BN96" s="239"/>
      <c r="BO96" s="239"/>
      <c r="BP96" s="240">
        <f>CEILING(357*B3,1)</f>
        <v>679</v>
      </c>
      <c r="BQ96" s="240"/>
      <c r="BR96" s="240"/>
      <c r="BS96" s="47"/>
    </row>
    <row r="97" spans="2:67" s="6" customFormat="1" ht="13.5" customHeight="1" x14ac:dyDescent="0.25">
      <c r="B97" s="7" t="s">
        <v>7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</row>
    <row r="98" spans="2:67" s="6" customFormat="1" ht="69.95" customHeight="1" x14ac:dyDescent="0.25">
      <c r="B98" s="17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7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7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3"/>
    </row>
    <row r="99" spans="2:67" s="6" customFormat="1" ht="69.95" customHeight="1" x14ac:dyDescent="0.25">
      <c r="B99" s="18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18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18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14"/>
    </row>
    <row r="100" spans="2:67" s="6" customFormat="1" ht="69.95" customHeight="1" x14ac:dyDescent="0.25">
      <c r="B100" s="18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18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18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14"/>
    </row>
    <row r="101" spans="2:67" s="6" customFormat="1" ht="69.95" customHeight="1" x14ac:dyDescent="0.25">
      <c r="B101" s="18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18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18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14"/>
    </row>
    <row r="102" spans="2:67" s="6" customFormat="1" ht="69.95" customHeight="1" x14ac:dyDescent="0.25">
      <c r="B102" s="18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17"/>
      <c r="T102" s="12"/>
      <c r="U102" s="12"/>
      <c r="V102" s="12"/>
      <c r="W102" s="12"/>
      <c r="X102" s="12"/>
      <c r="Y102" s="12"/>
      <c r="Z102" s="12"/>
      <c r="AA102" s="22" t="s">
        <v>8</v>
      </c>
      <c r="AB102" s="12"/>
      <c r="AC102" s="12"/>
      <c r="AD102" s="12"/>
      <c r="AE102" s="12"/>
      <c r="AF102" s="12"/>
      <c r="AG102" s="12"/>
      <c r="AH102" s="12"/>
      <c r="AI102" s="2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1"/>
      <c r="AZ102" s="11"/>
      <c r="BA102" s="21"/>
    </row>
    <row r="103" spans="2:67" s="6" customFormat="1" ht="69.95" customHeight="1" x14ac:dyDescent="0.25">
      <c r="B103" s="19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9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6"/>
      <c r="AZ103" s="16"/>
      <c r="BA103" s="20"/>
    </row>
    <row r="104" spans="2:67" ht="9" customHeight="1" x14ac:dyDescent="0.25"/>
    <row r="105" spans="2:67" ht="9" customHeight="1" x14ac:dyDescent="0.25"/>
    <row r="106" spans="2:67" ht="9" customHeight="1" x14ac:dyDescent="0.25"/>
    <row r="107" spans="2:67" ht="9" customHeight="1" x14ac:dyDescent="0.25"/>
    <row r="108" spans="2:67" ht="9" customHeight="1" x14ac:dyDescent="0.25"/>
    <row r="109" spans="2:67" ht="9" customHeight="1" x14ac:dyDescent="0.25"/>
    <row r="110" spans="2:67" ht="9" customHeight="1" x14ac:dyDescent="0.25"/>
    <row r="111" spans="2:67" ht="9" customHeight="1" x14ac:dyDescent="0.25"/>
    <row r="112" spans="2:67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</sheetData>
  <mergeCells count="225">
    <mergeCell ref="B3:N3"/>
    <mergeCell ref="P3:BR3"/>
    <mergeCell ref="AR17:BD17"/>
    <mergeCell ref="B18:N18"/>
    <mergeCell ref="P18:AB18"/>
    <mergeCell ref="AD18:AP18"/>
    <mergeCell ref="B19:N19"/>
    <mergeCell ref="P19:AB19"/>
    <mergeCell ref="AD19:AP19"/>
    <mergeCell ref="AR19:BD19"/>
    <mergeCell ref="A7:BR7"/>
    <mergeCell ref="B8:E8"/>
    <mergeCell ref="F8:N8"/>
    <mergeCell ref="P8:S8"/>
    <mergeCell ref="AD8:AG8"/>
    <mergeCell ref="AR8:AU8"/>
    <mergeCell ref="AV8:BD8"/>
    <mergeCell ref="BF8:BI8"/>
    <mergeCell ref="P22:Y22"/>
    <mergeCell ref="Z22:AB22"/>
    <mergeCell ref="AD22:AM22"/>
    <mergeCell ref="AN22:AP22"/>
    <mergeCell ref="AR22:BA22"/>
    <mergeCell ref="BB22:BD22"/>
    <mergeCell ref="BF22:BO22"/>
    <mergeCell ref="B20:K20"/>
    <mergeCell ref="L20:N20"/>
    <mergeCell ref="AR20:BA20"/>
    <mergeCell ref="BB20:BD20"/>
    <mergeCell ref="BF20:BR20"/>
    <mergeCell ref="B21:K21"/>
    <mergeCell ref="L21:N21"/>
    <mergeCell ref="P21:Y21"/>
    <mergeCell ref="Z21:AB21"/>
    <mergeCell ref="AD21:AM21"/>
    <mergeCell ref="AN21:AP21"/>
    <mergeCell ref="AR21:BA21"/>
    <mergeCell ref="BB21:BD21"/>
    <mergeCell ref="BF21:BR21"/>
    <mergeCell ref="BP22:BR22"/>
    <mergeCell ref="B22:K22"/>
    <mergeCell ref="L22:N22"/>
    <mergeCell ref="B24:E24"/>
    <mergeCell ref="P24:S24"/>
    <mergeCell ref="AD24:AG24"/>
    <mergeCell ref="AR24:AU24"/>
    <mergeCell ref="AV24:BD24"/>
    <mergeCell ref="BF24:BI24"/>
    <mergeCell ref="BF36:BR36"/>
    <mergeCell ref="B37:N37"/>
    <mergeCell ref="P37:AB37"/>
    <mergeCell ref="AD37:AP37"/>
    <mergeCell ref="AR37:AX37"/>
    <mergeCell ref="AY37:BA37"/>
    <mergeCell ref="BB37:BD37"/>
    <mergeCell ref="BF37:BR37"/>
    <mergeCell ref="P35:AB35"/>
    <mergeCell ref="AD35:AP35"/>
    <mergeCell ref="AR35:BD35"/>
    <mergeCell ref="B36:N36"/>
    <mergeCell ref="AR36:AX36"/>
    <mergeCell ref="AY36:BA36"/>
    <mergeCell ref="BB36:BD36"/>
    <mergeCell ref="BF38:BO38"/>
    <mergeCell ref="BP38:BR38"/>
    <mergeCell ref="B40:E40"/>
    <mergeCell ref="P40:S40"/>
    <mergeCell ref="AD40:AG40"/>
    <mergeCell ref="AR40:AU40"/>
    <mergeCell ref="BF40:BI40"/>
    <mergeCell ref="B38:K38"/>
    <mergeCell ref="L38:N38"/>
    <mergeCell ref="P38:Y38"/>
    <mergeCell ref="Z38:AB38"/>
    <mergeCell ref="AD38:AM38"/>
    <mergeCell ref="AN38:AP38"/>
    <mergeCell ref="AD51:AP51"/>
    <mergeCell ref="B52:N52"/>
    <mergeCell ref="P52:AB52"/>
    <mergeCell ref="AD52:AJ52"/>
    <mergeCell ref="AK52:AM52"/>
    <mergeCell ref="AN52:AP52"/>
    <mergeCell ref="AR38:AX38"/>
    <mergeCell ref="AY38:BA38"/>
    <mergeCell ref="BB38:BD38"/>
    <mergeCell ref="AR52:BD52"/>
    <mergeCell ref="BF52:BR52"/>
    <mergeCell ref="B53:N53"/>
    <mergeCell ref="P53:AB53"/>
    <mergeCell ref="AD53:AJ53"/>
    <mergeCell ref="AK53:AM53"/>
    <mergeCell ref="AN53:AP53"/>
    <mergeCell ref="AR53:AX53"/>
    <mergeCell ref="AY53:BA53"/>
    <mergeCell ref="BB53:BD53"/>
    <mergeCell ref="BP54:BR54"/>
    <mergeCell ref="BF53:BL53"/>
    <mergeCell ref="BM53:BO53"/>
    <mergeCell ref="BP53:BR53"/>
    <mergeCell ref="B54:K54"/>
    <mergeCell ref="L54:N54"/>
    <mergeCell ref="P54:Y54"/>
    <mergeCell ref="Z54:AB54"/>
    <mergeCell ref="AD54:AJ54"/>
    <mergeCell ref="AK54:AM54"/>
    <mergeCell ref="AN54:AP54"/>
    <mergeCell ref="AR56:AU56"/>
    <mergeCell ref="BF56:BI56"/>
    <mergeCell ref="B64:L64"/>
    <mergeCell ref="M64:O64"/>
    <mergeCell ref="AR54:AX54"/>
    <mergeCell ref="AY54:BA54"/>
    <mergeCell ref="BB54:BD54"/>
    <mergeCell ref="BF54:BL54"/>
    <mergeCell ref="BM54:BO54"/>
    <mergeCell ref="B65:L65"/>
    <mergeCell ref="M65:O65"/>
    <mergeCell ref="B66:L66"/>
    <mergeCell ref="M66:O66"/>
    <mergeCell ref="P66:Y66"/>
    <mergeCell ref="Z66:AB66"/>
    <mergeCell ref="B56:N57"/>
    <mergeCell ref="P56:AB57"/>
    <mergeCell ref="AD56:AH56"/>
    <mergeCell ref="AD66:AP66"/>
    <mergeCell ref="AK67:AM67"/>
    <mergeCell ref="AN67:AP67"/>
    <mergeCell ref="AR67:AX67"/>
    <mergeCell ref="AR66:AX66"/>
    <mergeCell ref="AY66:BA66"/>
    <mergeCell ref="BB66:BD66"/>
    <mergeCell ref="BF66:BR66"/>
    <mergeCell ref="B67:L67"/>
    <mergeCell ref="M67:O67"/>
    <mergeCell ref="P67:Y67"/>
    <mergeCell ref="Z67:AB67"/>
    <mergeCell ref="AD67:AJ67"/>
    <mergeCell ref="BM67:BO67"/>
    <mergeCell ref="BP67:BR67"/>
    <mergeCell ref="AY67:BA67"/>
    <mergeCell ref="BB67:BD67"/>
    <mergeCell ref="BF67:BL67"/>
    <mergeCell ref="AY68:BA68"/>
    <mergeCell ref="BB68:BD68"/>
    <mergeCell ref="BF68:BL68"/>
    <mergeCell ref="BM68:BO68"/>
    <mergeCell ref="BP68:BR68"/>
    <mergeCell ref="B70:E70"/>
    <mergeCell ref="F70:N70"/>
    <mergeCell ref="AD70:AG70"/>
    <mergeCell ref="AH70:AP70"/>
    <mergeCell ref="AR70:AU70"/>
    <mergeCell ref="AV70:BD70"/>
    <mergeCell ref="BF70:BI70"/>
    <mergeCell ref="B68:L68"/>
    <mergeCell ref="M68:O68"/>
    <mergeCell ref="P68:Y68"/>
    <mergeCell ref="Z68:AB68"/>
    <mergeCell ref="AD68:AJ68"/>
    <mergeCell ref="AK68:AM68"/>
    <mergeCell ref="AN68:AP68"/>
    <mergeCell ref="AR68:AX68"/>
    <mergeCell ref="AD81:AM81"/>
    <mergeCell ref="AN81:AP81"/>
    <mergeCell ref="AR81:BA81"/>
    <mergeCell ref="BB81:BD81"/>
    <mergeCell ref="P79:AB79"/>
    <mergeCell ref="AD79:AP79"/>
    <mergeCell ref="AR79:BD79"/>
    <mergeCell ref="B80:N80"/>
    <mergeCell ref="P80:AB80"/>
    <mergeCell ref="AG80:AH80"/>
    <mergeCell ref="AI80:AJ80"/>
    <mergeCell ref="AK80:AL80"/>
    <mergeCell ref="AM80:AN80"/>
    <mergeCell ref="AO80:AP80"/>
    <mergeCell ref="AR80:BD80"/>
    <mergeCell ref="BF81:BR81"/>
    <mergeCell ref="B82:H82"/>
    <mergeCell ref="I82:K82"/>
    <mergeCell ref="L82:N82"/>
    <mergeCell ref="P82:Y82"/>
    <mergeCell ref="Z82:AB82"/>
    <mergeCell ref="AD82:AM82"/>
    <mergeCell ref="AN82:AP82"/>
    <mergeCell ref="BB95:BD95"/>
    <mergeCell ref="AR82:BA82"/>
    <mergeCell ref="BB82:BD82"/>
    <mergeCell ref="BF82:BO82"/>
    <mergeCell ref="BP82:BR82"/>
    <mergeCell ref="B84:H84"/>
    <mergeCell ref="P84:V84"/>
    <mergeCell ref="AD84:AG84"/>
    <mergeCell ref="AR84:AU84"/>
    <mergeCell ref="AV84:BD84"/>
    <mergeCell ref="BF84:BI84"/>
    <mergeCell ref="B81:H81"/>
    <mergeCell ref="I81:K81"/>
    <mergeCell ref="L81:N81"/>
    <mergeCell ref="P81:Y81"/>
    <mergeCell ref="Z81:AB81"/>
    <mergeCell ref="A2:BR2"/>
    <mergeCell ref="BJ1:BR1"/>
    <mergeCell ref="A1:BC1"/>
    <mergeCell ref="BF96:BO96"/>
    <mergeCell ref="BP96:BR96"/>
    <mergeCell ref="BF95:BO95"/>
    <mergeCell ref="BP95:BR95"/>
    <mergeCell ref="B96:K96"/>
    <mergeCell ref="L96:N96"/>
    <mergeCell ref="P96:Y96"/>
    <mergeCell ref="Z96:AB96"/>
    <mergeCell ref="AD96:AM96"/>
    <mergeCell ref="AN96:AP96"/>
    <mergeCell ref="AR96:BA96"/>
    <mergeCell ref="BB96:BD96"/>
    <mergeCell ref="AR93:BD93"/>
    <mergeCell ref="AD94:AP94"/>
    <mergeCell ref="AR94:BD94"/>
    <mergeCell ref="BF94:BR94"/>
    <mergeCell ref="B95:N95"/>
    <mergeCell ref="P95:AB95"/>
    <mergeCell ref="AD95:AM95"/>
    <mergeCell ref="AN95:AP95"/>
    <mergeCell ref="AR95:BA95"/>
  </mergeCells>
  <hyperlinks>
    <hyperlink ref="BJ1:BR1" location="ОГЛАВЛЕНИЕ!A1" display="ОГЛАВЛЕНИЕ!A1" xr:uid="{318EB46A-B7C0-4E75-8811-3875241C6B6D}"/>
  </hyperlinks>
  <printOptions horizontalCentered="1"/>
  <pageMargins left="0.23622047244094491" right="0.23622047244094491" top="0.23622047244094491" bottom="0.23622047244094491" header="0.23622047244094491" footer="0.23622047244094491"/>
  <pageSetup paperSize="9" scale="62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83725-3F2C-4793-A9A8-87227F54061B}">
  <sheetPr>
    <tabColor rgb="FF92D050"/>
    <pageSetUpPr fitToPage="1"/>
  </sheetPr>
  <dimension ref="A1:BS306"/>
  <sheetViews>
    <sheetView showGridLines="0" view="pageBreakPreview" zoomScaleSheetLayoutView="100" workbookViewId="0">
      <selection activeCell="B3" sqref="B3:K3"/>
    </sheetView>
  </sheetViews>
  <sheetFormatPr defaultColWidth="9.140625" defaultRowHeight="8.25" x14ac:dyDescent="0.25"/>
  <cols>
    <col min="1" max="1" width="0.28515625" style="46" customWidth="1"/>
    <col min="2" max="10" width="1.7109375" style="46" customWidth="1"/>
    <col min="11" max="11" width="2.5703125" style="46" customWidth="1"/>
    <col min="12" max="12" width="0.28515625" style="46" customWidth="1"/>
    <col min="13" max="21" width="1.7109375" style="46" customWidth="1"/>
    <col min="22" max="22" width="3.140625" style="46" customWidth="1"/>
    <col min="23" max="23" width="0.28515625" style="46" customWidth="1"/>
    <col min="24" max="32" width="1.7109375" style="46" customWidth="1"/>
    <col min="33" max="33" width="2.85546875" style="46" customWidth="1"/>
    <col min="34" max="34" width="0.28515625" style="46" customWidth="1"/>
    <col min="35" max="43" width="1.7109375" style="46" customWidth="1"/>
    <col min="44" max="44" width="3.140625" style="46" customWidth="1"/>
    <col min="45" max="45" width="0.28515625" style="46" customWidth="1"/>
    <col min="46" max="51" width="1.7109375" style="46" customWidth="1"/>
    <col min="52" max="52" width="2.140625" style="46" customWidth="1"/>
    <col min="53" max="55" width="1.7109375" style="46" customWidth="1"/>
    <col min="56" max="56" width="2.42578125" style="46" customWidth="1"/>
    <col min="57" max="57" width="0.28515625" style="46" customWidth="1"/>
    <col min="58" max="68" width="1.7109375" style="46" customWidth="1"/>
    <col min="69" max="69" width="3.140625" style="46" customWidth="1"/>
    <col min="70" max="70" width="0.28515625" style="46" customWidth="1"/>
    <col min="71" max="16384" width="9.140625" style="46"/>
  </cols>
  <sheetData>
    <row r="1" spans="1:70" s="6" customFormat="1" ht="90.95" customHeight="1" x14ac:dyDescent="0.25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171"/>
      <c r="BE1" s="170"/>
      <c r="BF1" s="170"/>
      <c r="BG1" s="170"/>
      <c r="BH1" s="170"/>
      <c r="BI1" s="170"/>
      <c r="BJ1" s="288" t="s">
        <v>0</v>
      </c>
      <c r="BK1" s="288"/>
      <c r="BL1" s="288"/>
      <c r="BM1" s="288"/>
      <c r="BN1" s="288"/>
      <c r="BO1" s="288"/>
      <c r="BP1" s="288"/>
      <c r="BQ1" s="288"/>
      <c r="BR1" s="288"/>
    </row>
    <row r="2" spans="1:70" s="6" customFormat="1" ht="12" x14ac:dyDescent="0.25">
      <c r="A2" s="289" t="s">
        <v>14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</row>
    <row r="3" spans="1:70" ht="18" customHeight="1" x14ac:dyDescent="0.25">
      <c r="A3" s="48"/>
      <c r="B3" s="277">
        <v>1.9</v>
      </c>
      <c r="C3" s="278"/>
      <c r="D3" s="278"/>
      <c r="E3" s="278"/>
      <c r="F3" s="278"/>
      <c r="G3" s="278"/>
      <c r="H3" s="278"/>
      <c r="I3" s="278"/>
      <c r="J3" s="278"/>
      <c r="K3" s="278"/>
      <c r="L3" s="166"/>
      <c r="M3" s="279" t="s">
        <v>309</v>
      </c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279"/>
      <c r="BQ3" s="279"/>
      <c r="BR3" s="47"/>
    </row>
    <row r="4" spans="1:70" ht="1.5" customHeight="1" x14ac:dyDescent="0.25">
      <c r="A4" s="48"/>
      <c r="B4" s="14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147"/>
      <c r="BR4" s="47"/>
    </row>
    <row r="5" spans="1:70" ht="19.5" customHeight="1" x14ac:dyDescent="0.25">
      <c r="A5" s="280" t="s">
        <v>16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280"/>
      <c r="AV5" s="280"/>
      <c r="AW5" s="280"/>
      <c r="AX5" s="280"/>
      <c r="AY5" s="280"/>
      <c r="AZ5" s="280"/>
      <c r="BA5" s="280"/>
      <c r="BB5" s="28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  <c r="BP5" s="280"/>
      <c r="BQ5" s="280"/>
      <c r="BR5" s="47"/>
    </row>
    <row r="6" spans="1:70" ht="23.25" customHeight="1" x14ac:dyDescent="0.25">
      <c r="A6" s="48"/>
      <c r="B6" s="318" t="s">
        <v>310</v>
      </c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8"/>
      <c r="BN6" s="318"/>
      <c r="BO6" s="318"/>
      <c r="BP6" s="318"/>
      <c r="BQ6" s="318"/>
      <c r="BR6" s="148"/>
    </row>
    <row r="7" spans="1:70" ht="1.5" customHeight="1" x14ac:dyDescent="0.25">
      <c r="A7" s="48"/>
      <c r="B7" s="149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48"/>
      <c r="BR7" s="148"/>
    </row>
    <row r="8" spans="1:70" s="50" customFormat="1" ht="9" customHeight="1" x14ac:dyDescent="0.25">
      <c r="A8" s="49"/>
      <c r="B8" s="310" t="s">
        <v>311</v>
      </c>
      <c r="C8" s="311"/>
      <c r="D8" s="311"/>
      <c r="E8" s="312"/>
      <c r="F8" s="100"/>
      <c r="G8" s="100"/>
      <c r="H8" s="100"/>
      <c r="I8" s="100"/>
      <c r="J8" s="100"/>
      <c r="K8" s="101"/>
      <c r="L8" s="89"/>
      <c r="M8" s="310" t="s">
        <v>312</v>
      </c>
      <c r="N8" s="311"/>
      <c r="O8" s="311"/>
      <c r="P8" s="312"/>
      <c r="Q8" s="100"/>
      <c r="R8" s="100"/>
      <c r="S8" s="100"/>
      <c r="T8" s="100"/>
      <c r="U8" s="100"/>
      <c r="V8" s="101"/>
      <c r="W8" s="89"/>
      <c r="X8" s="310" t="s">
        <v>313</v>
      </c>
      <c r="Y8" s="311"/>
      <c r="Z8" s="311"/>
      <c r="AA8" s="312"/>
      <c r="AB8" s="100"/>
      <c r="AC8" s="100"/>
      <c r="AD8" s="100"/>
      <c r="AE8" s="100"/>
      <c r="AF8" s="100"/>
      <c r="AG8" s="101"/>
      <c r="AH8" s="91"/>
      <c r="AI8" s="310" t="s">
        <v>314</v>
      </c>
      <c r="AJ8" s="311"/>
      <c r="AK8" s="311"/>
      <c r="AL8" s="312"/>
      <c r="AM8" s="100"/>
      <c r="AN8" s="100"/>
      <c r="AO8" s="100"/>
      <c r="AP8" s="100"/>
      <c r="AQ8" s="100"/>
      <c r="AR8" s="101"/>
      <c r="AS8" s="91"/>
      <c r="AT8" s="310" t="s">
        <v>315</v>
      </c>
      <c r="AU8" s="311"/>
      <c r="AV8" s="311"/>
      <c r="AW8" s="312"/>
      <c r="AX8" s="100"/>
      <c r="AY8" s="100"/>
      <c r="AZ8" s="100"/>
      <c r="BA8" s="100"/>
      <c r="BB8" s="100"/>
      <c r="BC8" s="100"/>
      <c r="BD8" s="101"/>
      <c r="BE8" s="91"/>
      <c r="BF8" s="310" t="s">
        <v>316</v>
      </c>
      <c r="BG8" s="311"/>
      <c r="BH8" s="311"/>
      <c r="BI8" s="312"/>
      <c r="BJ8" s="100"/>
      <c r="BK8" s="100"/>
      <c r="BL8" s="100"/>
      <c r="BM8" s="100"/>
      <c r="BN8" s="100"/>
      <c r="BO8" s="100"/>
      <c r="BP8" s="100"/>
      <c r="BQ8" s="101"/>
      <c r="BR8" s="93"/>
    </row>
    <row r="9" spans="1:70" s="50" customFormat="1" ht="9" customHeight="1" x14ac:dyDescent="0.25">
      <c r="A9" s="49"/>
      <c r="B9" s="92"/>
      <c r="C9" s="91"/>
      <c r="D9" s="91"/>
      <c r="E9" s="91"/>
      <c r="F9" s="91"/>
      <c r="G9" s="91"/>
      <c r="H9" s="91"/>
      <c r="I9" s="91"/>
      <c r="J9" s="91"/>
      <c r="K9" s="93"/>
      <c r="L9" s="89"/>
      <c r="M9" s="92"/>
      <c r="N9" s="91"/>
      <c r="O9" s="91"/>
      <c r="P9" s="91"/>
      <c r="Q9" s="91"/>
      <c r="R9" s="91"/>
      <c r="S9" s="91"/>
      <c r="T9" s="91"/>
      <c r="U9" s="91"/>
      <c r="V9" s="93"/>
      <c r="W9" s="89"/>
      <c r="X9" s="92"/>
      <c r="Y9" s="91"/>
      <c r="Z9" s="91"/>
      <c r="AA9" s="91"/>
      <c r="AB9" s="91"/>
      <c r="AC9" s="91"/>
      <c r="AD9" s="91"/>
      <c r="AE9" s="91"/>
      <c r="AF9" s="91"/>
      <c r="AG9" s="93"/>
      <c r="AH9" s="91"/>
      <c r="AI9" s="92"/>
      <c r="AJ9" s="91"/>
      <c r="AK9" s="91"/>
      <c r="AL9" s="91"/>
      <c r="AM9" s="91"/>
      <c r="AN9" s="91"/>
      <c r="AO9" s="91"/>
      <c r="AP9" s="91"/>
      <c r="AQ9" s="91"/>
      <c r="AR9" s="93"/>
      <c r="AS9" s="91"/>
      <c r="AT9" s="92"/>
      <c r="AU9" s="91"/>
      <c r="AV9" s="91"/>
      <c r="AW9" s="91"/>
      <c r="AX9" s="91"/>
      <c r="AY9" s="91"/>
      <c r="AZ9" s="91"/>
      <c r="BA9" s="91"/>
      <c r="BB9" s="91"/>
      <c r="BC9" s="91"/>
      <c r="BD9" s="93"/>
      <c r="BE9" s="91"/>
      <c r="BF9" s="92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3"/>
      <c r="BR9" s="93"/>
    </row>
    <row r="10" spans="1:70" s="50" customFormat="1" ht="9" customHeight="1" x14ac:dyDescent="0.25">
      <c r="A10" s="49"/>
      <c r="B10" s="92"/>
      <c r="C10" s="91"/>
      <c r="D10" s="91"/>
      <c r="E10" s="91"/>
      <c r="F10" s="91"/>
      <c r="G10" s="91"/>
      <c r="H10" s="91"/>
      <c r="I10" s="91"/>
      <c r="J10" s="91"/>
      <c r="K10" s="93"/>
      <c r="L10" s="89"/>
      <c r="M10" s="92"/>
      <c r="N10" s="91"/>
      <c r="O10" s="91"/>
      <c r="P10" s="91"/>
      <c r="Q10" s="91"/>
      <c r="R10" s="91"/>
      <c r="S10" s="91"/>
      <c r="T10" s="91"/>
      <c r="U10" s="91"/>
      <c r="V10" s="93"/>
      <c r="W10" s="89"/>
      <c r="X10" s="92"/>
      <c r="Y10" s="91"/>
      <c r="Z10" s="91"/>
      <c r="AA10" s="91"/>
      <c r="AB10" s="91"/>
      <c r="AC10" s="91"/>
      <c r="AD10" s="91"/>
      <c r="AE10" s="91"/>
      <c r="AF10" s="91"/>
      <c r="AG10" s="93"/>
      <c r="AH10" s="91"/>
      <c r="AI10" s="92"/>
      <c r="AJ10" s="91"/>
      <c r="AK10" s="91"/>
      <c r="AL10" s="91"/>
      <c r="AM10" s="91"/>
      <c r="AN10" s="91"/>
      <c r="AO10" s="91"/>
      <c r="AP10" s="91"/>
      <c r="AQ10" s="91"/>
      <c r="AR10" s="93"/>
      <c r="AS10" s="91"/>
      <c r="AT10" s="92"/>
      <c r="AU10" s="91"/>
      <c r="AV10" s="91"/>
      <c r="AW10" s="91"/>
      <c r="AX10" s="91"/>
      <c r="AY10" s="91"/>
      <c r="AZ10" s="91"/>
      <c r="BA10" s="91"/>
      <c r="BB10" s="91"/>
      <c r="BC10" s="91"/>
      <c r="BD10" s="93"/>
      <c r="BE10" s="91"/>
      <c r="BF10" s="92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3"/>
      <c r="BR10" s="93"/>
    </row>
    <row r="11" spans="1:70" s="50" customFormat="1" ht="9" customHeight="1" x14ac:dyDescent="0.25">
      <c r="A11" s="49"/>
      <c r="B11" s="92"/>
      <c r="C11" s="91"/>
      <c r="D11" s="91"/>
      <c r="E11" s="91"/>
      <c r="F11" s="91"/>
      <c r="G11" s="91"/>
      <c r="H11" s="91"/>
      <c r="I11" s="91"/>
      <c r="J11" s="91"/>
      <c r="K11" s="93"/>
      <c r="L11" s="89"/>
      <c r="M11" s="92"/>
      <c r="N11" s="91"/>
      <c r="O11" s="91"/>
      <c r="P11" s="91"/>
      <c r="Q11" s="91"/>
      <c r="R11" s="91"/>
      <c r="S11" s="91"/>
      <c r="T11" s="91"/>
      <c r="U11" s="91"/>
      <c r="V11" s="93"/>
      <c r="W11" s="89"/>
      <c r="X11" s="92"/>
      <c r="Y11" s="91"/>
      <c r="Z11" s="91"/>
      <c r="AA11" s="91"/>
      <c r="AB11" s="91"/>
      <c r="AC11" s="91"/>
      <c r="AD11" s="91"/>
      <c r="AE11" s="91"/>
      <c r="AF11" s="91"/>
      <c r="AG11" s="93"/>
      <c r="AH11" s="91"/>
      <c r="AI11" s="92"/>
      <c r="AJ11" s="91"/>
      <c r="AK11" s="91"/>
      <c r="AL11" s="91"/>
      <c r="AM11" s="91"/>
      <c r="AN11" s="91"/>
      <c r="AO11" s="91"/>
      <c r="AP11" s="91"/>
      <c r="AQ11" s="91"/>
      <c r="AR11" s="93"/>
      <c r="AS11" s="91"/>
      <c r="AT11" s="92"/>
      <c r="AU11" s="91"/>
      <c r="AV11" s="91"/>
      <c r="AW11" s="91"/>
      <c r="AX11" s="91"/>
      <c r="AY11" s="91"/>
      <c r="AZ11" s="91"/>
      <c r="BA11" s="91"/>
      <c r="BB11" s="91"/>
      <c r="BC11" s="91"/>
      <c r="BD11" s="93"/>
      <c r="BE11" s="91"/>
      <c r="BF11" s="92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3"/>
      <c r="BR11" s="93"/>
    </row>
    <row r="12" spans="1:70" s="50" customFormat="1" ht="9" customHeight="1" x14ac:dyDescent="0.25">
      <c r="A12" s="49"/>
      <c r="B12" s="92"/>
      <c r="C12" s="91"/>
      <c r="D12" s="91"/>
      <c r="E12" s="91"/>
      <c r="F12" s="91"/>
      <c r="G12" s="91"/>
      <c r="H12" s="91"/>
      <c r="I12" s="91"/>
      <c r="J12" s="91"/>
      <c r="K12" s="93"/>
      <c r="L12" s="89"/>
      <c r="M12" s="92"/>
      <c r="N12" s="91"/>
      <c r="O12" s="91"/>
      <c r="P12" s="91"/>
      <c r="Q12" s="91"/>
      <c r="R12" s="91"/>
      <c r="S12" s="91"/>
      <c r="T12" s="91"/>
      <c r="U12" s="91"/>
      <c r="V12" s="93"/>
      <c r="W12" s="89"/>
      <c r="X12" s="92"/>
      <c r="Y12" s="91"/>
      <c r="Z12" s="91"/>
      <c r="AA12" s="91"/>
      <c r="AB12" s="91"/>
      <c r="AC12" s="91"/>
      <c r="AD12" s="91"/>
      <c r="AE12" s="91"/>
      <c r="AF12" s="91"/>
      <c r="AG12" s="93"/>
      <c r="AH12" s="91"/>
      <c r="AI12" s="92"/>
      <c r="AJ12" s="91"/>
      <c r="AK12" s="91"/>
      <c r="AL12" s="91"/>
      <c r="AM12" s="91"/>
      <c r="AN12" s="91"/>
      <c r="AO12" s="91"/>
      <c r="AP12" s="91"/>
      <c r="AQ12" s="91"/>
      <c r="AR12" s="93"/>
      <c r="AS12" s="91"/>
      <c r="AT12" s="92"/>
      <c r="AU12" s="91"/>
      <c r="AV12" s="91"/>
      <c r="AW12" s="91"/>
      <c r="AX12" s="91"/>
      <c r="AY12" s="91"/>
      <c r="AZ12" s="91"/>
      <c r="BA12" s="91"/>
      <c r="BB12" s="91"/>
      <c r="BC12" s="91"/>
      <c r="BD12" s="93"/>
      <c r="BE12" s="91"/>
      <c r="BF12" s="92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3"/>
      <c r="BR12" s="93"/>
    </row>
    <row r="13" spans="1:70" s="50" customFormat="1" ht="9" customHeight="1" x14ac:dyDescent="0.25">
      <c r="A13" s="49"/>
      <c r="B13" s="92"/>
      <c r="C13" s="91"/>
      <c r="D13" s="91"/>
      <c r="E13" s="91"/>
      <c r="F13" s="91"/>
      <c r="G13" s="91"/>
      <c r="H13" s="91"/>
      <c r="I13" s="91"/>
      <c r="J13" s="91"/>
      <c r="K13" s="93"/>
      <c r="L13" s="89"/>
      <c r="M13" s="92"/>
      <c r="N13" s="91"/>
      <c r="O13" s="91"/>
      <c r="P13" s="91"/>
      <c r="Q13" s="91"/>
      <c r="R13" s="91"/>
      <c r="S13" s="91"/>
      <c r="T13" s="91"/>
      <c r="U13" s="91"/>
      <c r="V13" s="93"/>
      <c r="W13" s="89"/>
      <c r="X13" s="92"/>
      <c r="Y13" s="91"/>
      <c r="Z13" s="91"/>
      <c r="AA13" s="91"/>
      <c r="AB13" s="91"/>
      <c r="AC13" s="91"/>
      <c r="AD13" s="91"/>
      <c r="AE13" s="91"/>
      <c r="AF13" s="91"/>
      <c r="AG13" s="93"/>
      <c r="AH13" s="91"/>
      <c r="AI13" s="92"/>
      <c r="AJ13" s="91"/>
      <c r="AK13" s="91"/>
      <c r="AL13" s="91"/>
      <c r="AM13" s="91"/>
      <c r="AN13" s="91"/>
      <c r="AO13" s="91"/>
      <c r="AP13" s="91"/>
      <c r="AQ13" s="91"/>
      <c r="AR13" s="93"/>
      <c r="AS13" s="91"/>
      <c r="AT13" s="92"/>
      <c r="AU13" s="91"/>
      <c r="AV13" s="91"/>
      <c r="AW13" s="91"/>
      <c r="AX13" s="91"/>
      <c r="AY13" s="91"/>
      <c r="AZ13" s="91"/>
      <c r="BA13" s="91"/>
      <c r="BB13" s="91"/>
      <c r="BC13" s="91"/>
      <c r="BD13" s="93"/>
      <c r="BE13" s="91"/>
      <c r="BF13" s="92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3"/>
      <c r="BR13" s="93"/>
    </row>
    <row r="14" spans="1:70" s="50" customFormat="1" ht="9" customHeight="1" x14ac:dyDescent="0.25">
      <c r="A14" s="49"/>
      <c r="B14" s="92"/>
      <c r="C14" s="91"/>
      <c r="D14" s="91"/>
      <c r="E14" s="91"/>
      <c r="F14" s="91"/>
      <c r="G14" s="91"/>
      <c r="H14" s="91"/>
      <c r="I14" s="91"/>
      <c r="J14" s="91"/>
      <c r="K14" s="93"/>
      <c r="L14" s="89"/>
      <c r="M14" s="92"/>
      <c r="N14" s="91"/>
      <c r="O14" s="91"/>
      <c r="P14" s="91"/>
      <c r="Q14" s="91"/>
      <c r="R14" s="91"/>
      <c r="S14" s="91"/>
      <c r="T14" s="91"/>
      <c r="U14" s="91"/>
      <c r="V14" s="93"/>
      <c r="W14" s="89"/>
      <c r="X14" s="92"/>
      <c r="Y14" s="91"/>
      <c r="Z14" s="91"/>
      <c r="AA14" s="91"/>
      <c r="AB14" s="91"/>
      <c r="AC14" s="91"/>
      <c r="AD14" s="91"/>
      <c r="AE14" s="91"/>
      <c r="AF14" s="91"/>
      <c r="AG14" s="93"/>
      <c r="AH14" s="91"/>
      <c r="AI14" s="92"/>
      <c r="AJ14" s="91"/>
      <c r="AK14" s="91"/>
      <c r="AL14" s="91"/>
      <c r="AM14" s="91"/>
      <c r="AN14" s="91"/>
      <c r="AO14" s="91"/>
      <c r="AP14" s="91"/>
      <c r="AQ14" s="91"/>
      <c r="AR14" s="93"/>
      <c r="AS14" s="91"/>
      <c r="AT14" s="92"/>
      <c r="AU14" s="91"/>
      <c r="AV14" s="91"/>
      <c r="AW14" s="91"/>
      <c r="AX14" s="91"/>
      <c r="AY14" s="91"/>
      <c r="AZ14" s="91"/>
      <c r="BA14" s="91"/>
      <c r="BB14" s="91"/>
      <c r="BC14" s="91"/>
      <c r="BD14" s="93"/>
      <c r="BE14" s="91"/>
      <c r="BF14" s="92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3"/>
      <c r="BR14" s="93"/>
    </row>
    <row r="15" spans="1:70" s="50" customFormat="1" ht="9" customHeight="1" x14ac:dyDescent="0.25">
      <c r="A15" s="49"/>
      <c r="B15" s="92"/>
      <c r="C15" s="91"/>
      <c r="D15" s="91"/>
      <c r="E15" s="91"/>
      <c r="F15" s="91"/>
      <c r="G15" s="91"/>
      <c r="H15" s="91"/>
      <c r="I15" s="91"/>
      <c r="J15" s="91"/>
      <c r="K15" s="93"/>
      <c r="L15" s="89"/>
      <c r="M15" s="92"/>
      <c r="N15" s="91"/>
      <c r="O15" s="91"/>
      <c r="P15" s="91"/>
      <c r="Q15" s="91"/>
      <c r="R15" s="91"/>
      <c r="S15" s="91"/>
      <c r="T15" s="91"/>
      <c r="U15" s="91"/>
      <c r="V15" s="93"/>
      <c r="W15" s="89"/>
      <c r="X15" s="92"/>
      <c r="Y15" s="91"/>
      <c r="Z15" s="91"/>
      <c r="AA15" s="91"/>
      <c r="AB15" s="91"/>
      <c r="AC15" s="91"/>
      <c r="AD15" s="91"/>
      <c r="AE15" s="91"/>
      <c r="AF15" s="91"/>
      <c r="AG15" s="93"/>
      <c r="AH15" s="91"/>
      <c r="AI15" s="92"/>
      <c r="AJ15" s="91"/>
      <c r="AK15" s="91"/>
      <c r="AL15" s="91"/>
      <c r="AM15" s="91"/>
      <c r="AN15" s="91"/>
      <c r="AO15" s="91"/>
      <c r="AP15" s="91"/>
      <c r="AQ15" s="91"/>
      <c r="AR15" s="93"/>
      <c r="AS15" s="91"/>
      <c r="AT15" s="92"/>
      <c r="AU15" s="91"/>
      <c r="AV15" s="91"/>
      <c r="AW15" s="91"/>
      <c r="AX15" s="91"/>
      <c r="AY15" s="91"/>
      <c r="AZ15" s="91"/>
      <c r="BA15" s="91"/>
      <c r="BB15" s="91"/>
      <c r="BC15" s="91"/>
      <c r="BD15" s="93"/>
      <c r="BE15" s="91"/>
      <c r="BF15" s="92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3"/>
      <c r="BR15" s="93"/>
    </row>
    <row r="16" spans="1:70" s="50" customFormat="1" ht="9" customHeight="1" x14ac:dyDescent="0.25">
      <c r="A16" s="49"/>
      <c r="B16" s="92"/>
      <c r="C16" s="91"/>
      <c r="D16" s="91"/>
      <c r="E16" s="91"/>
      <c r="F16" s="91"/>
      <c r="G16" s="91"/>
      <c r="H16" s="91"/>
      <c r="I16" s="91"/>
      <c r="J16" s="91"/>
      <c r="K16" s="93"/>
      <c r="L16" s="89"/>
      <c r="M16" s="92"/>
      <c r="N16" s="91"/>
      <c r="O16" s="91"/>
      <c r="P16" s="91"/>
      <c r="Q16" s="91"/>
      <c r="R16" s="91"/>
      <c r="S16" s="91"/>
      <c r="T16" s="91"/>
      <c r="U16" s="91"/>
      <c r="V16" s="93"/>
      <c r="W16" s="89"/>
      <c r="X16" s="92"/>
      <c r="Y16" s="91"/>
      <c r="Z16" s="91"/>
      <c r="AA16" s="91"/>
      <c r="AB16" s="91"/>
      <c r="AC16" s="91"/>
      <c r="AD16" s="91"/>
      <c r="AE16" s="91"/>
      <c r="AF16" s="91"/>
      <c r="AG16" s="93"/>
      <c r="AH16" s="91"/>
      <c r="AI16" s="92"/>
      <c r="AJ16" s="91"/>
      <c r="AK16" s="91"/>
      <c r="AL16" s="91"/>
      <c r="AM16" s="91"/>
      <c r="AN16" s="91"/>
      <c r="AO16" s="91"/>
      <c r="AP16" s="91"/>
      <c r="AQ16" s="91"/>
      <c r="AR16" s="93"/>
      <c r="AS16" s="91"/>
      <c r="AT16" s="92"/>
      <c r="AU16" s="91"/>
      <c r="AV16" s="91"/>
      <c r="AW16" s="91"/>
      <c r="AX16" s="91"/>
      <c r="AY16" s="91"/>
      <c r="AZ16" s="91"/>
      <c r="BA16" s="91"/>
      <c r="BB16" s="91"/>
      <c r="BC16" s="91"/>
      <c r="BD16" s="93"/>
      <c r="BE16" s="91"/>
      <c r="BF16" s="92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3"/>
      <c r="BR16" s="93"/>
    </row>
    <row r="17" spans="1:70" s="50" customFormat="1" ht="9" customHeight="1" x14ac:dyDescent="0.25">
      <c r="A17" s="49"/>
      <c r="B17" s="92"/>
      <c r="C17" s="91"/>
      <c r="D17" s="91"/>
      <c r="E17" s="91"/>
      <c r="F17" s="91"/>
      <c r="G17" s="91"/>
      <c r="H17" s="91"/>
      <c r="I17" s="91"/>
      <c r="J17" s="91"/>
      <c r="K17" s="93"/>
      <c r="L17" s="89"/>
      <c r="M17" s="92"/>
      <c r="N17" s="91"/>
      <c r="O17" s="91"/>
      <c r="P17" s="91"/>
      <c r="Q17" s="91"/>
      <c r="R17" s="91"/>
      <c r="S17" s="91"/>
      <c r="T17" s="91"/>
      <c r="U17" s="91"/>
      <c r="V17" s="93"/>
      <c r="W17" s="89"/>
      <c r="X17" s="92"/>
      <c r="Y17" s="91"/>
      <c r="Z17" s="91"/>
      <c r="AA17" s="91"/>
      <c r="AB17" s="91"/>
      <c r="AC17" s="91"/>
      <c r="AD17" s="91"/>
      <c r="AE17" s="91"/>
      <c r="AF17" s="91"/>
      <c r="AG17" s="93"/>
      <c r="AH17" s="91"/>
      <c r="AI17" s="92"/>
      <c r="AJ17" s="91"/>
      <c r="AK17" s="91"/>
      <c r="AL17" s="91"/>
      <c r="AM17" s="91"/>
      <c r="AN17" s="91"/>
      <c r="AO17" s="91"/>
      <c r="AP17" s="91"/>
      <c r="AQ17" s="91"/>
      <c r="AR17" s="93"/>
      <c r="AS17" s="91"/>
      <c r="AT17" s="92"/>
      <c r="AU17" s="91"/>
      <c r="AV17" s="91"/>
      <c r="AW17" s="91"/>
      <c r="AX17" s="91"/>
      <c r="AY17" s="91"/>
      <c r="AZ17" s="91"/>
      <c r="BA17" s="91"/>
      <c r="BB17" s="91"/>
      <c r="BC17" s="91"/>
      <c r="BD17" s="93"/>
      <c r="BE17" s="91"/>
      <c r="BF17" s="92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3"/>
      <c r="BR17" s="93"/>
    </row>
    <row r="18" spans="1:70" s="50" customFormat="1" ht="9" customHeight="1" x14ac:dyDescent="0.25">
      <c r="A18" s="49"/>
      <c r="B18" s="92"/>
      <c r="C18" s="91"/>
      <c r="D18" s="91"/>
      <c r="E18" s="91"/>
      <c r="F18" s="91"/>
      <c r="G18" s="91"/>
      <c r="H18" s="91"/>
      <c r="I18" s="91"/>
      <c r="J18" s="91"/>
      <c r="K18" s="93"/>
      <c r="L18" s="89"/>
      <c r="M18" s="92"/>
      <c r="N18" s="91"/>
      <c r="O18" s="91"/>
      <c r="P18" s="91"/>
      <c r="Q18" s="91"/>
      <c r="R18" s="91"/>
      <c r="S18" s="91"/>
      <c r="T18" s="91"/>
      <c r="U18" s="91"/>
      <c r="V18" s="93"/>
      <c r="W18" s="89"/>
      <c r="X18" s="92"/>
      <c r="Y18" s="91"/>
      <c r="Z18" s="91"/>
      <c r="AA18" s="91"/>
      <c r="AB18" s="91"/>
      <c r="AC18" s="91"/>
      <c r="AD18" s="91"/>
      <c r="AE18" s="91"/>
      <c r="AF18" s="91"/>
      <c r="AG18" s="93"/>
      <c r="AH18" s="91"/>
      <c r="AI18" s="92"/>
      <c r="AJ18" s="91"/>
      <c r="AK18" s="91"/>
      <c r="AL18" s="91"/>
      <c r="AM18" s="91"/>
      <c r="AN18" s="91"/>
      <c r="AO18" s="91"/>
      <c r="AP18" s="91"/>
      <c r="AQ18" s="91"/>
      <c r="AR18" s="93"/>
      <c r="AS18" s="91"/>
      <c r="AT18" s="92"/>
      <c r="AU18" s="91"/>
      <c r="AV18" s="91"/>
      <c r="AW18" s="91"/>
      <c r="AX18" s="91"/>
      <c r="AY18" s="91"/>
      <c r="AZ18" s="91"/>
      <c r="BA18" s="91"/>
      <c r="BB18" s="91"/>
      <c r="BC18" s="91"/>
      <c r="BD18" s="93"/>
      <c r="BE18" s="91"/>
      <c r="BF18" s="92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3"/>
      <c r="BR18" s="93"/>
    </row>
    <row r="19" spans="1:70" s="50" customFormat="1" ht="9" customHeight="1" x14ac:dyDescent="0.25">
      <c r="A19" s="49"/>
      <c r="B19" s="297" t="s">
        <v>317</v>
      </c>
      <c r="C19" s="291"/>
      <c r="D19" s="291"/>
      <c r="E19" s="291"/>
      <c r="F19" s="291"/>
      <c r="G19" s="291"/>
      <c r="H19" s="291"/>
      <c r="I19" s="291"/>
      <c r="J19" s="291"/>
      <c r="K19" s="293"/>
      <c r="L19" s="98"/>
      <c r="M19" s="297" t="s">
        <v>318</v>
      </c>
      <c r="N19" s="291"/>
      <c r="O19" s="291"/>
      <c r="P19" s="291"/>
      <c r="Q19" s="291"/>
      <c r="R19" s="291"/>
      <c r="S19" s="291"/>
      <c r="T19" s="291"/>
      <c r="U19" s="291"/>
      <c r="V19" s="293"/>
      <c r="W19" s="98"/>
      <c r="X19" s="297" t="s">
        <v>319</v>
      </c>
      <c r="Y19" s="291"/>
      <c r="Z19" s="291"/>
      <c r="AA19" s="291"/>
      <c r="AB19" s="291"/>
      <c r="AC19" s="291"/>
      <c r="AD19" s="291"/>
      <c r="AE19" s="291"/>
      <c r="AF19" s="291"/>
      <c r="AG19" s="293"/>
      <c r="AH19" s="98"/>
      <c r="AI19" s="297" t="s">
        <v>320</v>
      </c>
      <c r="AJ19" s="291"/>
      <c r="AK19" s="291"/>
      <c r="AL19" s="291"/>
      <c r="AM19" s="291"/>
      <c r="AN19" s="291"/>
      <c r="AO19" s="291"/>
      <c r="AP19" s="291"/>
      <c r="AQ19" s="291"/>
      <c r="AR19" s="293"/>
      <c r="AS19" s="98"/>
      <c r="AT19" s="297" t="s">
        <v>321</v>
      </c>
      <c r="AU19" s="291"/>
      <c r="AV19" s="291"/>
      <c r="AW19" s="291"/>
      <c r="AX19" s="291"/>
      <c r="AY19" s="291"/>
      <c r="AZ19" s="291"/>
      <c r="BA19" s="291"/>
      <c r="BB19" s="291"/>
      <c r="BC19" s="291"/>
      <c r="BD19" s="293"/>
      <c r="BE19" s="98"/>
      <c r="BF19" s="297" t="s">
        <v>322</v>
      </c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3"/>
      <c r="BR19" s="93"/>
    </row>
    <row r="20" spans="1:70" s="50" customFormat="1" ht="9" customHeight="1" x14ac:dyDescent="0.25">
      <c r="A20" s="49"/>
      <c r="B20" s="241" t="s">
        <v>323</v>
      </c>
      <c r="C20" s="241"/>
      <c r="D20" s="241"/>
      <c r="E20" s="241"/>
      <c r="F20" s="241"/>
      <c r="G20" s="241"/>
      <c r="H20" s="240">
        <f>CEILING(2243*B3,1)</f>
        <v>4262</v>
      </c>
      <c r="I20" s="240"/>
      <c r="J20" s="240"/>
      <c r="K20" s="240"/>
      <c r="L20" s="42"/>
      <c r="M20" s="241" t="s">
        <v>324</v>
      </c>
      <c r="N20" s="241"/>
      <c r="O20" s="241"/>
      <c r="P20" s="241"/>
      <c r="Q20" s="241"/>
      <c r="R20" s="241"/>
      <c r="S20" s="240">
        <f>CEILING(3637*B3,1)</f>
        <v>6911</v>
      </c>
      <c r="T20" s="240"/>
      <c r="U20" s="240"/>
      <c r="V20" s="240"/>
      <c r="W20" s="42"/>
      <c r="X20" s="241" t="s">
        <v>325</v>
      </c>
      <c r="Y20" s="241"/>
      <c r="Z20" s="241"/>
      <c r="AA20" s="241"/>
      <c r="AB20" s="241"/>
      <c r="AC20" s="241"/>
      <c r="AD20" s="240">
        <f>CEILING(5554*B3,1)</f>
        <v>10553</v>
      </c>
      <c r="AE20" s="240"/>
      <c r="AF20" s="240"/>
      <c r="AG20" s="240"/>
      <c r="AH20" s="2"/>
      <c r="AI20" s="241" t="s">
        <v>326</v>
      </c>
      <c r="AJ20" s="241"/>
      <c r="AK20" s="241"/>
      <c r="AL20" s="241"/>
      <c r="AM20" s="241"/>
      <c r="AN20" s="241"/>
      <c r="AO20" s="240">
        <f>CEILING(7314*B3,1)</f>
        <v>13897</v>
      </c>
      <c r="AP20" s="240"/>
      <c r="AQ20" s="240"/>
      <c r="AR20" s="240"/>
      <c r="AS20" s="2"/>
      <c r="AT20" s="241" t="s">
        <v>327</v>
      </c>
      <c r="AU20" s="241"/>
      <c r="AV20" s="241"/>
      <c r="AW20" s="241"/>
      <c r="AX20" s="241"/>
      <c r="AY20" s="241"/>
      <c r="AZ20" s="241"/>
      <c r="BA20" s="240">
        <f>CEILING(9146*B3,1)</f>
        <v>17378</v>
      </c>
      <c r="BB20" s="240"/>
      <c r="BC20" s="240"/>
      <c r="BD20" s="240"/>
      <c r="BE20" s="2"/>
      <c r="BF20" s="241" t="s">
        <v>328</v>
      </c>
      <c r="BG20" s="241"/>
      <c r="BH20" s="241"/>
      <c r="BI20" s="241"/>
      <c r="BJ20" s="241"/>
      <c r="BK20" s="241"/>
      <c r="BL20" s="241"/>
      <c r="BM20" s="241"/>
      <c r="BN20" s="240">
        <f>CEILING(10863*B3,1)</f>
        <v>20640</v>
      </c>
      <c r="BO20" s="240"/>
      <c r="BP20" s="240"/>
      <c r="BQ20" s="240"/>
      <c r="BR20" s="93"/>
    </row>
    <row r="21" spans="1:70" s="50" customFormat="1" ht="2.1" customHeight="1" x14ac:dyDescent="0.25">
      <c r="A21" s="49"/>
      <c r="B21" s="88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3"/>
      <c r="BR21" s="93"/>
    </row>
    <row r="22" spans="1:70" s="50" customFormat="1" ht="9" customHeight="1" x14ac:dyDescent="0.25">
      <c r="A22" s="49"/>
      <c r="B22" s="310" t="s">
        <v>329</v>
      </c>
      <c r="C22" s="311"/>
      <c r="D22" s="311"/>
      <c r="E22" s="312"/>
      <c r="F22" s="100"/>
      <c r="G22" s="100"/>
      <c r="H22" s="100"/>
      <c r="I22" s="100"/>
      <c r="J22" s="100"/>
      <c r="K22" s="101"/>
      <c r="L22" s="89"/>
      <c r="M22" s="310" t="s">
        <v>330</v>
      </c>
      <c r="N22" s="311"/>
      <c r="O22" s="311"/>
      <c r="P22" s="312"/>
      <c r="Q22" s="100"/>
      <c r="R22" s="100"/>
      <c r="S22" s="100"/>
      <c r="T22" s="100"/>
      <c r="U22" s="100"/>
      <c r="V22" s="101"/>
      <c r="W22" s="89"/>
      <c r="X22" s="310" t="s">
        <v>331</v>
      </c>
      <c r="Y22" s="311"/>
      <c r="Z22" s="311"/>
      <c r="AA22" s="312"/>
      <c r="AB22" s="100"/>
      <c r="AC22" s="100"/>
      <c r="AD22" s="100"/>
      <c r="AE22" s="100"/>
      <c r="AF22" s="100"/>
      <c r="AG22" s="101"/>
      <c r="AH22" s="91"/>
      <c r="AI22" s="310" t="s">
        <v>332</v>
      </c>
      <c r="AJ22" s="311"/>
      <c r="AK22" s="311"/>
      <c r="AL22" s="312"/>
      <c r="AM22" s="100"/>
      <c r="AN22" s="100"/>
      <c r="AO22" s="100"/>
      <c r="AP22" s="100"/>
      <c r="AQ22" s="100"/>
      <c r="AR22" s="101"/>
      <c r="AS22" s="91"/>
      <c r="AT22" s="310" t="s">
        <v>333</v>
      </c>
      <c r="AU22" s="311"/>
      <c r="AV22" s="311"/>
      <c r="AW22" s="312"/>
      <c r="AX22" s="100"/>
      <c r="AY22" s="100"/>
      <c r="AZ22" s="100"/>
      <c r="BA22" s="100"/>
      <c r="BB22" s="100"/>
      <c r="BC22" s="100"/>
      <c r="BD22" s="101"/>
      <c r="BE22" s="91"/>
      <c r="BF22" s="310" t="s">
        <v>334</v>
      </c>
      <c r="BG22" s="311"/>
      <c r="BH22" s="311"/>
      <c r="BI22" s="312"/>
      <c r="BJ22" s="100"/>
      <c r="BK22" s="100"/>
      <c r="BL22" s="100"/>
      <c r="BM22" s="100"/>
      <c r="BN22" s="100"/>
      <c r="BO22" s="100"/>
      <c r="BP22" s="100"/>
      <c r="BQ22" s="101"/>
      <c r="BR22" s="93"/>
    </row>
    <row r="23" spans="1:70" s="50" customFormat="1" ht="9" customHeight="1" x14ac:dyDescent="0.25">
      <c r="A23" s="49"/>
      <c r="B23" s="92"/>
      <c r="C23" s="91"/>
      <c r="D23" s="91"/>
      <c r="E23" s="91"/>
      <c r="F23" s="91"/>
      <c r="G23" s="91"/>
      <c r="H23" s="91"/>
      <c r="I23" s="91"/>
      <c r="J23" s="91"/>
      <c r="K23" s="93"/>
      <c r="L23" s="91"/>
      <c r="M23" s="92"/>
      <c r="N23" s="91"/>
      <c r="O23" s="91"/>
      <c r="P23" s="91"/>
      <c r="Q23" s="91"/>
      <c r="R23" s="91"/>
      <c r="S23" s="91"/>
      <c r="T23" s="91"/>
      <c r="U23" s="91"/>
      <c r="V23" s="93"/>
      <c r="W23" s="91"/>
      <c r="X23" s="92"/>
      <c r="Y23" s="91"/>
      <c r="Z23" s="91"/>
      <c r="AA23" s="91"/>
      <c r="AB23" s="91"/>
      <c r="AC23" s="91"/>
      <c r="AD23" s="91"/>
      <c r="AE23" s="91"/>
      <c r="AF23" s="91"/>
      <c r="AG23" s="93"/>
      <c r="AH23" s="91"/>
      <c r="AI23" s="92"/>
      <c r="AJ23" s="91"/>
      <c r="AK23" s="91"/>
      <c r="AL23" s="91"/>
      <c r="AM23" s="91"/>
      <c r="AN23" s="91"/>
      <c r="AO23" s="91"/>
      <c r="AP23" s="91"/>
      <c r="AQ23" s="91"/>
      <c r="AR23" s="93"/>
      <c r="AS23" s="91"/>
      <c r="AT23" s="92"/>
      <c r="AU23" s="91"/>
      <c r="AV23" s="91"/>
      <c r="AW23" s="91"/>
      <c r="AX23" s="91"/>
      <c r="AY23" s="91"/>
      <c r="AZ23" s="91"/>
      <c r="BA23" s="91"/>
      <c r="BB23" s="91"/>
      <c r="BC23" s="91"/>
      <c r="BD23" s="93"/>
      <c r="BE23" s="91"/>
      <c r="BF23" s="92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3"/>
      <c r="BR23" s="93"/>
    </row>
    <row r="24" spans="1:70" s="50" customFormat="1" ht="9" customHeight="1" x14ac:dyDescent="0.25">
      <c r="A24" s="49"/>
      <c r="B24" s="92"/>
      <c r="C24" s="91"/>
      <c r="D24" s="91"/>
      <c r="E24" s="91"/>
      <c r="F24" s="91"/>
      <c r="G24" s="91"/>
      <c r="H24" s="91"/>
      <c r="I24" s="91"/>
      <c r="J24" s="91"/>
      <c r="K24" s="93"/>
      <c r="L24" s="91"/>
      <c r="M24" s="92"/>
      <c r="N24" s="91"/>
      <c r="O24" s="91"/>
      <c r="P24" s="91"/>
      <c r="Q24" s="91"/>
      <c r="R24" s="91"/>
      <c r="S24" s="91"/>
      <c r="T24" s="91"/>
      <c r="U24" s="91"/>
      <c r="V24" s="93"/>
      <c r="W24" s="91"/>
      <c r="X24" s="92"/>
      <c r="Y24" s="91"/>
      <c r="Z24" s="91"/>
      <c r="AA24" s="91"/>
      <c r="AB24" s="91"/>
      <c r="AC24" s="91"/>
      <c r="AD24" s="91"/>
      <c r="AE24" s="91"/>
      <c r="AF24" s="91"/>
      <c r="AG24" s="93"/>
      <c r="AH24" s="91"/>
      <c r="AI24" s="92"/>
      <c r="AJ24" s="91"/>
      <c r="AK24" s="91"/>
      <c r="AL24" s="91"/>
      <c r="AM24" s="91"/>
      <c r="AN24" s="91"/>
      <c r="AO24" s="91"/>
      <c r="AP24" s="91"/>
      <c r="AQ24" s="91"/>
      <c r="AR24" s="93"/>
      <c r="AS24" s="91"/>
      <c r="AT24" s="92"/>
      <c r="AU24" s="91"/>
      <c r="AV24" s="91"/>
      <c r="AW24" s="91"/>
      <c r="AX24" s="91"/>
      <c r="AY24" s="91"/>
      <c r="AZ24" s="91"/>
      <c r="BA24" s="91"/>
      <c r="BB24" s="91"/>
      <c r="BC24" s="91"/>
      <c r="BD24" s="93"/>
      <c r="BE24" s="91"/>
      <c r="BF24" s="92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3"/>
      <c r="BR24" s="93"/>
    </row>
    <row r="25" spans="1:70" s="50" customFormat="1" ht="9" customHeight="1" x14ac:dyDescent="0.25">
      <c r="A25" s="49"/>
      <c r="B25" s="92"/>
      <c r="C25" s="91"/>
      <c r="D25" s="91"/>
      <c r="E25" s="91"/>
      <c r="F25" s="91"/>
      <c r="G25" s="91"/>
      <c r="H25" s="91"/>
      <c r="I25" s="91"/>
      <c r="J25" s="91"/>
      <c r="K25" s="93"/>
      <c r="L25" s="91"/>
      <c r="M25" s="92"/>
      <c r="N25" s="91"/>
      <c r="O25" s="91"/>
      <c r="P25" s="91"/>
      <c r="Q25" s="91"/>
      <c r="R25" s="91"/>
      <c r="S25" s="91"/>
      <c r="T25" s="91"/>
      <c r="U25" s="91"/>
      <c r="V25" s="93"/>
      <c r="W25" s="91"/>
      <c r="X25" s="92"/>
      <c r="Y25" s="91"/>
      <c r="Z25" s="91"/>
      <c r="AA25" s="91"/>
      <c r="AB25" s="91"/>
      <c r="AC25" s="91"/>
      <c r="AD25" s="91"/>
      <c r="AE25" s="91"/>
      <c r="AF25" s="91"/>
      <c r="AG25" s="93"/>
      <c r="AH25" s="91"/>
      <c r="AI25" s="92"/>
      <c r="AJ25" s="91"/>
      <c r="AK25" s="91"/>
      <c r="AL25" s="91"/>
      <c r="AM25" s="91"/>
      <c r="AN25" s="91"/>
      <c r="AO25" s="91"/>
      <c r="AP25" s="91"/>
      <c r="AQ25" s="91"/>
      <c r="AR25" s="93"/>
      <c r="AS25" s="91"/>
      <c r="AT25" s="92"/>
      <c r="AU25" s="91"/>
      <c r="AV25" s="91"/>
      <c r="AW25" s="91"/>
      <c r="AX25" s="91"/>
      <c r="AY25" s="91"/>
      <c r="AZ25" s="91"/>
      <c r="BA25" s="91"/>
      <c r="BB25" s="91"/>
      <c r="BC25" s="91"/>
      <c r="BD25" s="93"/>
      <c r="BE25" s="91"/>
      <c r="BF25" s="92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3"/>
      <c r="BR25" s="93"/>
    </row>
    <row r="26" spans="1:70" s="50" customFormat="1" ht="9" customHeight="1" x14ac:dyDescent="0.25">
      <c r="A26" s="49"/>
      <c r="B26" s="92"/>
      <c r="C26" s="91"/>
      <c r="D26" s="91"/>
      <c r="E26" s="91"/>
      <c r="F26" s="91"/>
      <c r="G26" s="91"/>
      <c r="H26" s="91"/>
      <c r="I26" s="91"/>
      <c r="J26" s="91"/>
      <c r="K26" s="93"/>
      <c r="L26" s="91"/>
      <c r="M26" s="92"/>
      <c r="N26" s="91"/>
      <c r="O26" s="91"/>
      <c r="P26" s="91"/>
      <c r="Q26" s="91"/>
      <c r="R26" s="91"/>
      <c r="S26" s="91"/>
      <c r="T26" s="91"/>
      <c r="U26" s="91"/>
      <c r="V26" s="93"/>
      <c r="W26" s="91"/>
      <c r="X26" s="92"/>
      <c r="Y26" s="91"/>
      <c r="Z26" s="91"/>
      <c r="AA26" s="91"/>
      <c r="AB26" s="91"/>
      <c r="AC26" s="91"/>
      <c r="AD26" s="91"/>
      <c r="AE26" s="91"/>
      <c r="AF26" s="91"/>
      <c r="AG26" s="93"/>
      <c r="AH26" s="91"/>
      <c r="AI26" s="92"/>
      <c r="AJ26" s="91"/>
      <c r="AK26" s="91"/>
      <c r="AL26" s="91"/>
      <c r="AM26" s="91"/>
      <c r="AN26" s="91"/>
      <c r="AO26" s="91"/>
      <c r="AP26" s="91"/>
      <c r="AQ26" s="91"/>
      <c r="AR26" s="93"/>
      <c r="AS26" s="91"/>
      <c r="AT26" s="92"/>
      <c r="AU26" s="91"/>
      <c r="AV26" s="91"/>
      <c r="AW26" s="91"/>
      <c r="AX26" s="91"/>
      <c r="AY26" s="91"/>
      <c r="AZ26" s="91"/>
      <c r="BA26" s="91"/>
      <c r="BB26" s="91"/>
      <c r="BC26" s="91"/>
      <c r="BD26" s="93"/>
      <c r="BE26" s="91"/>
      <c r="BF26" s="92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3"/>
      <c r="BR26" s="93"/>
    </row>
    <row r="27" spans="1:70" s="50" customFormat="1" ht="9" customHeight="1" x14ac:dyDescent="0.25">
      <c r="A27" s="49"/>
      <c r="B27" s="92"/>
      <c r="C27" s="91"/>
      <c r="D27" s="91"/>
      <c r="E27" s="91"/>
      <c r="F27" s="91"/>
      <c r="G27" s="91"/>
      <c r="H27" s="91"/>
      <c r="I27" s="91"/>
      <c r="J27" s="91"/>
      <c r="K27" s="93"/>
      <c r="L27" s="91"/>
      <c r="M27" s="92"/>
      <c r="N27" s="91"/>
      <c r="O27" s="91"/>
      <c r="P27" s="91"/>
      <c r="Q27" s="91"/>
      <c r="R27" s="91"/>
      <c r="S27" s="91"/>
      <c r="T27" s="91"/>
      <c r="U27" s="91"/>
      <c r="V27" s="93"/>
      <c r="W27" s="91"/>
      <c r="X27" s="92"/>
      <c r="Y27" s="91"/>
      <c r="Z27" s="91"/>
      <c r="AA27" s="91"/>
      <c r="AB27" s="91"/>
      <c r="AC27" s="91"/>
      <c r="AD27" s="91"/>
      <c r="AE27" s="91"/>
      <c r="AF27" s="91"/>
      <c r="AG27" s="93"/>
      <c r="AH27" s="91"/>
      <c r="AI27" s="92"/>
      <c r="AJ27" s="91"/>
      <c r="AK27" s="91"/>
      <c r="AL27" s="91"/>
      <c r="AM27" s="91"/>
      <c r="AN27" s="91"/>
      <c r="AO27" s="91"/>
      <c r="AP27" s="91"/>
      <c r="AQ27" s="91"/>
      <c r="AR27" s="93"/>
      <c r="AS27" s="91"/>
      <c r="AT27" s="92"/>
      <c r="AU27" s="91"/>
      <c r="AV27" s="91"/>
      <c r="AW27" s="91"/>
      <c r="AX27" s="91"/>
      <c r="AY27" s="91"/>
      <c r="AZ27" s="91"/>
      <c r="BA27" s="91"/>
      <c r="BB27" s="91"/>
      <c r="BC27" s="91"/>
      <c r="BD27" s="93"/>
      <c r="BE27" s="91"/>
      <c r="BF27" s="92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3"/>
      <c r="BR27" s="93"/>
    </row>
    <row r="28" spans="1:70" s="50" customFormat="1" ht="9" customHeight="1" x14ac:dyDescent="0.25">
      <c r="A28" s="49"/>
      <c r="B28" s="92"/>
      <c r="C28" s="91"/>
      <c r="D28" s="91"/>
      <c r="E28" s="91"/>
      <c r="F28" s="91"/>
      <c r="G28" s="91"/>
      <c r="H28" s="91"/>
      <c r="I28" s="91"/>
      <c r="J28" s="91"/>
      <c r="K28" s="93"/>
      <c r="L28" s="91"/>
      <c r="M28" s="92"/>
      <c r="N28" s="91"/>
      <c r="O28" s="91"/>
      <c r="P28" s="91"/>
      <c r="Q28" s="91"/>
      <c r="R28" s="91"/>
      <c r="S28" s="91"/>
      <c r="T28" s="91"/>
      <c r="U28" s="91"/>
      <c r="V28" s="93"/>
      <c r="W28" s="91"/>
      <c r="X28" s="92"/>
      <c r="Y28" s="91"/>
      <c r="Z28" s="91"/>
      <c r="AA28" s="91"/>
      <c r="AB28" s="91"/>
      <c r="AC28" s="91"/>
      <c r="AD28" s="91"/>
      <c r="AE28" s="91"/>
      <c r="AF28" s="91"/>
      <c r="AG28" s="93"/>
      <c r="AH28" s="91"/>
      <c r="AI28" s="92"/>
      <c r="AJ28" s="91"/>
      <c r="AK28" s="91"/>
      <c r="AL28" s="91"/>
      <c r="AM28" s="91"/>
      <c r="AN28" s="91"/>
      <c r="AO28" s="91"/>
      <c r="AP28" s="91"/>
      <c r="AQ28" s="91"/>
      <c r="AR28" s="93"/>
      <c r="AS28" s="91"/>
      <c r="AT28" s="92"/>
      <c r="AU28" s="91"/>
      <c r="AV28" s="91"/>
      <c r="AW28" s="91"/>
      <c r="AX28" s="91"/>
      <c r="AY28" s="91"/>
      <c r="AZ28" s="91"/>
      <c r="BA28" s="91"/>
      <c r="BB28" s="91"/>
      <c r="BC28" s="91"/>
      <c r="BD28" s="93"/>
      <c r="BE28" s="91"/>
      <c r="BF28" s="92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3"/>
      <c r="BR28" s="93"/>
    </row>
    <row r="29" spans="1:70" s="50" customFormat="1" ht="9" customHeight="1" x14ac:dyDescent="0.25">
      <c r="A29" s="49"/>
      <c r="B29" s="92"/>
      <c r="C29" s="91"/>
      <c r="D29" s="91"/>
      <c r="E29" s="91"/>
      <c r="F29" s="91"/>
      <c r="G29" s="91"/>
      <c r="H29" s="91"/>
      <c r="I29" s="91"/>
      <c r="J29" s="91"/>
      <c r="K29" s="93"/>
      <c r="L29" s="91"/>
      <c r="M29" s="92"/>
      <c r="N29" s="91"/>
      <c r="O29" s="91"/>
      <c r="P29" s="91"/>
      <c r="Q29" s="91"/>
      <c r="R29" s="91"/>
      <c r="S29" s="91"/>
      <c r="T29" s="91"/>
      <c r="U29" s="91"/>
      <c r="V29" s="93"/>
      <c r="W29" s="91"/>
      <c r="X29" s="92"/>
      <c r="Y29" s="91"/>
      <c r="Z29" s="91"/>
      <c r="AA29" s="91"/>
      <c r="AB29" s="91"/>
      <c r="AC29" s="91"/>
      <c r="AD29" s="91"/>
      <c r="AE29" s="91"/>
      <c r="AF29" s="91"/>
      <c r="AG29" s="93"/>
      <c r="AH29" s="91"/>
      <c r="AI29" s="92"/>
      <c r="AJ29" s="91"/>
      <c r="AK29" s="91"/>
      <c r="AL29" s="91"/>
      <c r="AM29" s="91"/>
      <c r="AN29" s="91"/>
      <c r="AO29" s="91"/>
      <c r="AP29" s="91"/>
      <c r="AQ29" s="91"/>
      <c r="AR29" s="93"/>
      <c r="AS29" s="91"/>
      <c r="AT29" s="92"/>
      <c r="AU29" s="91"/>
      <c r="AV29" s="91"/>
      <c r="AW29" s="91"/>
      <c r="AX29" s="91"/>
      <c r="AY29" s="91"/>
      <c r="AZ29" s="91"/>
      <c r="BA29" s="91"/>
      <c r="BB29" s="91"/>
      <c r="BC29" s="91"/>
      <c r="BD29" s="93"/>
      <c r="BE29" s="91"/>
      <c r="BF29" s="92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3"/>
      <c r="BR29" s="93"/>
    </row>
    <row r="30" spans="1:70" s="50" customFormat="1" ht="9" customHeight="1" x14ac:dyDescent="0.25">
      <c r="A30" s="49"/>
      <c r="B30" s="92"/>
      <c r="C30" s="91"/>
      <c r="D30" s="91"/>
      <c r="E30" s="91"/>
      <c r="F30" s="91"/>
      <c r="G30" s="91"/>
      <c r="H30" s="91"/>
      <c r="I30" s="91"/>
      <c r="J30" s="91"/>
      <c r="K30" s="93"/>
      <c r="L30" s="91"/>
      <c r="M30" s="92"/>
      <c r="N30" s="91"/>
      <c r="O30" s="91"/>
      <c r="P30" s="91"/>
      <c r="Q30" s="91"/>
      <c r="R30" s="91"/>
      <c r="S30" s="91"/>
      <c r="T30" s="91"/>
      <c r="U30" s="91"/>
      <c r="V30" s="93"/>
      <c r="W30" s="91"/>
      <c r="X30" s="92"/>
      <c r="Y30" s="91"/>
      <c r="Z30" s="91"/>
      <c r="AA30" s="91"/>
      <c r="AB30" s="91"/>
      <c r="AC30" s="91"/>
      <c r="AD30" s="91"/>
      <c r="AE30" s="91"/>
      <c r="AF30" s="91"/>
      <c r="AG30" s="93"/>
      <c r="AH30" s="91"/>
      <c r="AI30" s="92"/>
      <c r="AJ30" s="91"/>
      <c r="AK30" s="91"/>
      <c r="AL30" s="91"/>
      <c r="AM30" s="91"/>
      <c r="AN30" s="91"/>
      <c r="AO30" s="91"/>
      <c r="AP30" s="91"/>
      <c r="AQ30" s="91"/>
      <c r="AR30" s="93"/>
      <c r="AS30" s="91"/>
      <c r="AT30" s="92"/>
      <c r="AU30" s="91"/>
      <c r="AV30" s="91"/>
      <c r="AW30" s="91"/>
      <c r="AX30" s="91"/>
      <c r="AY30" s="91"/>
      <c r="AZ30" s="91"/>
      <c r="BA30" s="91"/>
      <c r="BB30" s="91"/>
      <c r="BC30" s="91"/>
      <c r="BD30" s="93"/>
      <c r="BE30" s="91"/>
      <c r="BF30" s="92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3"/>
      <c r="BR30" s="93"/>
    </row>
    <row r="31" spans="1:70" s="50" customFormat="1" ht="9" customHeight="1" x14ac:dyDescent="0.25">
      <c r="A31" s="49"/>
      <c r="B31" s="92"/>
      <c r="C31" s="91"/>
      <c r="D31" s="91"/>
      <c r="E31" s="91"/>
      <c r="F31" s="91"/>
      <c r="G31" s="91"/>
      <c r="H31" s="91"/>
      <c r="I31" s="91"/>
      <c r="J31" s="91"/>
      <c r="K31" s="93"/>
      <c r="L31" s="91"/>
      <c r="M31" s="92"/>
      <c r="N31" s="91"/>
      <c r="O31" s="91"/>
      <c r="P31" s="91"/>
      <c r="Q31" s="91"/>
      <c r="R31" s="91"/>
      <c r="S31" s="91"/>
      <c r="T31" s="91"/>
      <c r="U31" s="91"/>
      <c r="V31" s="93"/>
      <c r="W31" s="91"/>
      <c r="X31" s="92"/>
      <c r="Y31" s="91"/>
      <c r="Z31" s="91"/>
      <c r="AA31" s="91"/>
      <c r="AB31" s="91"/>
      <c r="AC31" s="91"/>
      <c r="AD31" s="91"/>
      <c r="AE31" s="91"/>
      <c r="AF31" s="91"/>
      <c r="AG31" s="93"/>
      <c r="AH31" s="91"/>
      <c r="AI31" s="92"/>
      <c r="AJ31" s="91"/>
      <c r="AK31" s="91"/>
      <c r="AL31" s="91"/>
      <c r="AM31" s="91"/>
      <c r="AN31" s="91"/>
      <c r="AO31" s="91"/>
      <c r="AP31" s="91"/>
      <c r="AQ31" s="91"/>
      <c r="AR31" s="93"/>
      <c r="AS31" s="91"/>
      <c r="AT31" s="92"/>
      <c r="AU31" s="91"/>
      <c r="AV31" s="91"/>
      <c r="AW31" s="91"/>
      <c r="AX31" s="91"/>
      <c r="AY31" s="91"/>
      <c r="AZ31" s="91"/>
      <c r="BA31" s="91"/>
      <c r="BB31" s="91"/>
      <c r="BC31" s="91"/>
      <c r="BD31" s="93"/>
      <c r="BE31" s="91"/>
      <c r="BF31" s="92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3"/>
      <c r="BR31" s="93"/>
    </row>
    <row r="32" spans="1:70" s="50" customFormat="1" ht="9" customHeight="1" x14ac:dyDescent="0.25">
      <c r="A32" s="49"/>
      <c r="B32" s="92"/>
      <c r="C32" s="91"/>
      <c r="D32" s="91"/>
      <c r="E32" s="91"/>
      <c r="F32" s="91"/>
      <c r="G32" s="91"/>
      <c r="H32" s="91"/>
      <c r="I32" s="91"/>
      <c r="J32" s="91"/>
      <c r="K32" s="93"/>
      <c r="L32" s="91"/>
      <c r="M32" s="92"/>
      <c r="N32" s="91"/>
      <c r="O32" s="91"/>
      <c r="P32" s="91"/>
      <c r="Q32" s="91"/>
      <c r="R32" s="91"/>
      <c r="S32" s="91"/>
      <c r="T32" s="91"/>
      <c r="U32" s="91"/>
      <c r="V32" s="93"/>
      <c r="W32" s="91"/>
      <c r="X32" s="92"/>
      <c r="Y32" s="91"/>
      <c r="Z32" s="91"/>
      <c r="AA32" s="91"/>
      <c r="AB32" s="91"/>
      <c r="AC32" s="91"/>
      <c r="AD32" s="91"/>
      <c r="AE32" s="91"/>
      <c r="AF32" s="91"/>
      <c r="AG32" s="93"/>
      <c r="AH32" s="91"/>
      <c r="AI32" s="92"/>
      <c r="AJ32" s="91"/>
      <c r="AK32" s="91"/>
      <c r="AL32" s="91"/>
      <c r="AM32" s="91"/>
      <c r="AN32" s="91"/>
      <c r="AO32" s="91"/>
      <c r="AP32" s="91"/>
      <c r="AQ32" s="91"/>
      <c r="AR32" s="93"/>
      <c r="AS32" s="91"/>
      <c r="AT32" s="92"/>
      <c r="AU32" s="91"/>
      <c r="AV32" s="91"/>
      <c r="AW32" s="91"/>
      <c r="AX32" s="91"/>
      <c r="AY32" s="91"/>
      <c r="AZ32" s="91"/>
      <c r="BA32" s="91"/>
      <c r="BB32" s="91"/>
      <c r="BC32" s="91"/>
      <c r="BD32" s="93"/>
      <c r="BE32" s="91"/>
      <c r="BF32" s="92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3"/>
      <c r="BR32" s="93"/>
    </row>
    <row r="33" spans="1:71" s="50" customFormat="1" ht="9" customHeight="1" x14ac:dyDescent="0.25">
      <c r="A33" s="49"/>
      <c r="B33" s="297" t="s">
        <v>317</v>
      </c>
      <c r="C33" s="291"/>
      <c r="D33" s="291"/>
      <c r="E33" s="291"/>
      <c r="F33" s="291"/>
      <c r="G33" s="291"/>
      <c r="H33" s="291"/>
      <c r="I33" s="291"/>
      <c r="J33" s="291"/>
      <c r="K33" s="293"/>
      <c r="L33" s="98"/>
      <c r="M33" s="297" t="s">
        <v>318</v>
      </c>
      <c r="N33" s="291"/>
      <c r="O33" s="291"/>
      <c r="P33" s="291"/>
      <c r="Q33" s="291"/>
      <c r="R33" s="291"/>
      <c r="S33" s="291"/>
      <c r="T33" s="291"/>
      <c r="U33" s="291"/>
      <c r="V33" s="293"/>
      <c r="W33" s="98"/>
      <c r="X33" s="297" t="s">
        <v>319</v>
      </c>
      <c r="Y33" s="291"/>
      <c r="Z33" s="291"/>
      <c r="AA33" s="291"/>
      <c r="AB33" s="291"/>
      <c r="AC33" s="291"/>
      <c r="AD33" s="291"/>
      <c r="AE33" s="291"/>
      <c r="AF33" s="291"/>
      <c r="AG33" s="293"/>
      <c r="AH33" s="98"/>
      <c r="AI33" s="297" t="s">
        <v>320</v>
      </c>
      <c r="AJ33" s="291"/>
      <c r="AK33" s="291"/>
      <c r="AL33" s="291"/>
      <c r="AM33" s="291"/>
      <c r="AN33" s="291"/>
      <c r="AO33" s="291"/>
      <c r="AP33" s="291"/>
      <c r="AQ33" s="291"/>
      <c r="AR33" s="293"/>
      <c r="AS33" s="98"/>
      <c r="AT33" s="297" t="s">
        <v>321</v>
      </c>
      <c r="AU33" s="291"/>
      <c r="AV33" s="291"/>
      <c r="AW33" s="291"/>
      <c r="AX33" s="291"/>
      <c r="AY33" s="291"/>
      <c r="AZ33" s="291"/>
      <c r="BA33" s="291"/>
      <c r="BB33" s="291"/>
      <c r="BC33" s="291"/>
      <c r="BD33" s="293"/>
      <c r="BE33" s="98"/>
      <c r="BF33" s="297" t="s">
        <v>322</v>
      </c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3"/>
      <c r="BR33" s="93"/>
    </row>
    <row r="34" spans="1:71" s="50" customFormat="1" ht="9" customHeight="1" x14ac:dyDescent="0.25">
      <c r="A34" s="49"/>
      <c r="B34" s="241" t="s">
        <v>323</v>
      </c>
      <c r="C34" s="241"/>
      <c r="D34" s="241"/>
      <c r="E34" s="241"/>
      <c r="F34" s="241"/>
      <c r="G34" s="241"/>
      <c r="H34" s="240">
        <f>CEILING(2596*B3,1)</f>
        <v>4933</v>
      </c>
      <c r="I34" s="240"/>
      <c r="J34" s="240"/>
      <c r="K34" s="240"/>
      <c r="L34" s="42"/>
      <c r="M34" s="241" t="s">
        <v>324</v>
      </c>
      <c r="N34" s="241"/>
      <c r="O34" s="241"/>
      <c r="P34" s="241"/>
      <c r="Q34" s="241"/>
      <c r="R34" s="241"/>
      <c r="S34" s="240">
        <f>CEILING(3992*B3,1)</f>
        <v>7585</v>
      </c>
      <c r="T34" s="240"/>
      <c r="U34" s="240"/>
      <c r="V34" s="240"/>
      <c r="W34" s="42"/>
      <c r="X34" s="241" t="s">
        <v>325</v>
      </c>
      <c r="Y34" s="241"/>
      <c r="Z34" s="241"/>
      <c r="AA34" s="241"/>
      <c r="AB34" s="241"/>
      <c r="AC34" s="241"/>
      <c r="AD34" s="240">
        <f>CEILING(5906*B3,1)</f>
        <v>11222</v>
      </c>
      <c r="AE34" s="240"/>
      <c r="AF34" s="240"/>
      <c r="AG34" s="240"/>
      <c r="AH34" s="2"/>
      <c r="AI34" s="241" t="s">
        <v>326</v>
      </c>
      <c r="AJ34" s="241"/>
      <c r="AK34" s="241"/>
      <c r="AL34" s="241"/>
      <c r="AM34" s="241"/>
      <c r="AN34" s="241"/>
      <c r="AO34" s="240">
        <f>CEILING(7665*B3,1)</f>
        <v>14564</v>
      </c>
      <c r="AP34" s="240"/>
      <c r="AQ34" s="240"/>
      <c r="AR34" s="240"/>
      <c r="AS34" s="2"/>
      <c r="AT34" s="241" t="s">
        <v>327</v>
      </c>
      <c r="AU34" s="241"/>
      <c r="AV34" s="241"/>
      <c r="AW34" s="241"/>
      <c r="AX34" s="241"/>
      <c r="AY34" s="241"/>
      <c r="AZ34" s="241"/>
      <c r="BA34" s="240">
        <f>CEILING(9498*B3,1)</f>
        <v>18047</v>
      </c>
      <c r="BB34" s="240"/>
      <c r="BC34" s="240"/>
      <c r="BD34" s="240"/>
      <c r="BE34" s="2"/>
      <c r="BF34" s="241" t="s">
        <v>328</v>
      </c>
      <c r="BG34" s="241"/>
      <c r="BH34" s="241"/>
      <c r="BI34" s="241"/>
      <c r="BJ34" s="241"/>
      <c r="BK34" s="241"/>
      <c r="BL34" s="241"/>
      <c r="BM34" s="241"/>
      <c r="BN34" s="240">
        <f>CEILING(11214*B3,1)</f>
        <v>21307</v>
      </c>
      <c r="BO34" s="240"/>
      <c r="BP34" s="240"/>
      <c r="BQ34" s="240"/>
      <c r="BR34" s="93"/>
    </row>
    <row r="35" spans="1:71" s="50" customFormat="1" ht="1.5" customHeight="1" x14ac:dyDescent="0.25">
      <c r="A35" s="49"/>
      <c r="B35" s="151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3"/>
      <c r="BR35" s="93"/>
    </row>
    <row r="36" spans="1:71" s="50" customFormat="1" ht="30" customHeight="1" x14ac:dyDescent="0.25">
      <c r="A36" s="49"/>
      <c r="B36" s="317" t="s">
        <v>335</v>
      </c>
      <c r="C36" s="317"/>
      <c r="D36" s="317"/>
      <c r="E36" s="317"/>
      <c r="F36" s="317"/>
      <c r="G36" s="317"/>
      <c r="H36" s="317"/>
      <c r="I36" s="317"/>
      <c r="J36" s="317"/>
      <c r="K36" s="317"/>
      <c r="L36" s="317"/>
      <c r="M36" s="317"/>
      <c r="N36" s="317"/>
      <c r="O36" s="317"/>
      <c r="P36" s="317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7"/>
      <c r="AD36" s="317"/>
      <c r="AE36" s="317"/>
      <c r="AF36" s="317"/>
      <c r="AG36" s="317"/>
      <c r="AH36" s="317"/>
      <c r="AI36" s="317"/>
      <c r="AJ36" s="317"/>
      <c r="AK36" s="317"/>
      <c r="AL36" s="317"/>
      <c r="AM36" s="317"/>
      <c r="AN36" s="317"/>
      <c r="AO36" s="317"/>
      <c r="AP36" s="317"/>
      <c r="AQ36" s="317"/>
      <c r="AR36" s="317"/>
      <c r="AS36" s="317"/>
      <c r="AT36" s="317"/>
      <c r="AU36" s="317"/>
      <c r="AV36" s="317"/>
      <c r="AW36" s="317"/>
      <c r="AX36" s="317"/>
      <c r="AY36" s="317"/>
      <c r="AZ36" s="317"/>
      <c r="BA36" s="317"/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7"/>
      <c r="BR36" s="93"/>
    </row>
    <row r="37" spans="1:71" s="50" customFormat="1" ht="1.5" customHeight="1" x14ac:dyDescent="0.25">
      <c r="A37" s="49"/>
      <c r="B37" s="149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48"/>
      <c r="BR37" s="93"/>
    </row>
    <row r="38" spans="1:71" s="50" customFormat="1" ht="9" customHeight="1" x14ac:dyDescent="0.25">
      <c r="A38" s="49"/>
      <c r="B38" s="310" t="s">
        <v>336</v>
      </c>
      <c r="C38" s="311"/>
      <c r="D38" s="311"/>
      <c r="E38" s="311"/>
      <c r="F38" s="312"/>
      <c r="G38" s="100"/>
      <c r="H38" s="100"/>
      <c r="I38" s="100"/>
      <c r="J38" s="100"/>
      <c r="K38" s="101"/>
      <c r="L38" s="91"/>
      <c r="M38" s="310" t="s">
        <v>337</v>
      </c>
      <c r="N38" s="311"/>
      <c r="O38" s="311"/>
      <c r="P38" s="311"/>
      <c r="Q38" s="312"/>
      <c r="R38" s="100"/>
      <c r="S38" s="100"/>
      <c r="T38" s="100"/>
      <c r="U38" s="100"/>
      <c r="V38" s="101"/>
      <c r="W38" s="91"/>
      <c r="X38" s="310" t="s">
        <v>338</v>
      </c>
      <c r="Y38" s="311"/>
      <c r="Z38" s="311"/>
      <c r="AA38" s="311"/>
      <c r="AB38" s="312"/>
      <c r="AC38" s="100"/>
      <c r="AD38" s="100"/>
      <c r="AE38" s="100"/>
      <c r="AF38" s="100"/>
      <c r="AG38" s="101"/>
      <c r="AH38" s="91"/>
      <c r="AI38" s="310" t="s">
        <v>339</v>
      </c>
      <c r="AJ38" s="311"/>
      <c r="AK38" s="311"/>
      <c r="AL38" s="311"/>
      <c r="AM38" s="312"/>
      <c r="AN38" s="100"/>
      <c r="AO38" s="100"/>
      <c r="AP38" s="100"/>
      <c r="AQ38" s="100"/>
      <c r="AR38" s="101"/>
      <c r="AS38" s="91"/>
      <c r="AT38" s="310" t="s">
        <v>340</v>
      </c>
      <c r="AU38" s="311"/>
      <c r="AV38" s="311"/>
      <c r="AW38" s="311"/>
      <c r="AX38" s="312"/>
      <c r="AY38" s="91"/>
      <c r="AZ38" s="91"/>
      <c r="BA38" s="91"/>
      <c r="BB38" s="91"/>
      <c r="BC38" s="91"/>
      <c r="BD38" s="93"/>
      <c r="BE38" s="91"/>
      <c r="BF38" s="310" t="s">
        <v>341</v>
      </c>
      <c r="BG38" s="311"/>
      <c r="BH38" s="311"/>
      <c r="BI38" s="311"/>
      <c r="BJ38" s="312"/>
      <c r="BK38" s="100"/>
      <c r="BL38" s="100"/>
      <c r="BM38" s="100"/>
      <c r="BN38" s="100"/>
      <c r="BO38" s="100"/>
      <c r="BP38" s="100"/>
      <c r="BQ38" s="101"/>
      <c r="BR38" s="93"/>
    </row>
    <row r="39" spans="1:71" s="50" customFormat="1" ht="9" customHeight="1" x14ac:dyDescent="0.25">
      <c r="A39" s="49"/>
      <c r="B39" s="92"/>
      <c r="C39" s="91"/>
      <c r="D39" s="91"/>
      <c r="E39" s="91"/>
      <c r="F39" s="91"/>
      <c r="G39" s="91"/>
      <c r="H39" s="91"/>
      <c r="I39" s="91"/>
      <c r="J39" s="91"/>
      <c r="K39" s="93"/>
      <c r="L39" s="91"/>
      <c r="M39" s="92"/>
      <c r="N39" s="91"/>
      <c r="O39" s="91"/>
      <c r="P39" s="91"/>
      <c r="Q39" s="91"/>
      <c r="R39" s="91"/>
      <c r="S39" s="91"/>
      <c r="T39" s="91"/>
      <c r="U39" s="91"/>
      <c r="V39" s="93"/>
      <c r="W39" s="91"/>
      <c r="X39" s="92"/>
      <c r="Y39" s="91"/>
      <c r="Z39" s="91"/>
      <c r="AA39" s="91"/>
      <c r="AB39" s="91"/>
      <c r="AC39" s="91"/>
      <c r="AD39" s="91"/>
      <c r="AE39" s="91"/>
      <c r="AF39" s="91"/>
      <c r="AG39" s="93"/>
      <c r="AH39" s="91"/>
      <c r="AI39" s="92"/>
      <c r="AJ39" s="91"/>
      <c r="AK39" s="91"/>
      <c r="AL39" s="91"/>
      <c r="AM39" s="91"/>
      <c r="AN39" s="91"/>
      <c r="AO39" s="91"/>
      <c r="AP39" s="91"/>
      <c r="AQ39" s="91"/>
      <c r="AR39" s="93"/>
      <c r="AS39" s="91"/>
      <c r="AT39" s="92"/>
      <c r="AU39" s="91"/>
      <c r="AV39" s="91"/>
      <c r="AW39" s="91"/>
      <c r="AX39" s="91"/>
      <c r="AY39" s="91"/>
      <c r="AZ39" s="91"/>
      <c r="BA39" s="91"/>
      <c r="BB39" s="91"/>
      <c r="BC39" s="91"/>
      <c r="BD39" s="93"/>
      <c r="BE39" s="91"/>
      <c r="BF39" s="92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3"/>
      <c r="BR39" s="93"/>
      <c r="BS39" s="102"/>
    </row>
    <row r="40" spans="1:71" s="50" customFormat="1" ht="9" customHeight="1" x14ac:dyDescent="0.25">
      <c r="A40" s="49"/>
      <c r="B40" s="92"/>
      <c r="C40" s="91"/>
      <c r="D40" s="91"/>
      <c r="E40" s="91"/>
      <c r="F40" s="91"/>
      <c r="G40" s="91"/>
      <c r="H40" s="91"/>
      <c r="I40" s="91"/>
      <c r="J40" s="91"/>
      <c r="K40" s="93"/>
      <c r="L40" s="91"/>
      <c r="M40" s="92"/>
      <c r="N40" s="91"/>
      <c r="O40" s="91"/>
      <c r="P40" s="91"/>
      <c r="Q40" s="91"/>
      <c r="R40" s="91"/>
      <c r="S40" s="91"/>
      <c r="T40" s="91"/>
      <c r="U40" s="91"/>
      <c r="V40" s="93"/>
      <c r="W40" s="91"/>
      <c r="X40" s="92"/>
      <c r="Y40" s="91"/>
      <c r="Z40" s="91"/>
      <c r="AA40" s="91"/>
      <c r="AB40" s="91"/>
      <c r="AC40" s="91"/>
      <c r="AD40" s="91"/>
      <c r="AE40" s="91"/>
      <c r="AF40" s="91"/>
      <c r="AG40" s="93"/>
      <c r="AH40" s="91"/>
      <c r="AI40" s="92"/>
      <c r="AJ40" s="91"/>
      <c r="AK40" s="91"/>
      <c r="AL40" s="91"/>
      <c r="AM40" s="91"/>
      <c r="AN40" s="91"/>
      <c r="AO40" s="91"/>
      <c r="AP40" s="91"/>
      <c r="AQ40" s="91"/>
      <c r="AR40" s="93"/>
      <c r="AS40" s="91"/>
      <c r="AT40" s="92"/>
      <c r="AU40" s="91"/>
      <c r="AV40" s="91"/>
      <c r="AW40" s="91"/>
      <c r="AX40" s="91"/>
      <c r="AY40" s="91"/>
      <c r="AZ40" s="91"/>
      <c r="BA40" s="91"/>
      <c r="BB40" s="91"/>
      <c r="BC40" s="91"/>
      <c r="BD40" s="93"/>
      <c r="BE40" s="91"/>
      <c r="BF40" s="92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3"/>
      <c r="BR40" s="93"/>
    </row>
    <row r="41" spans="1:71" s="50" customFormat="1" ht="9" customHeight="1" x14ac:dyDescent="0.25">
      <c r="A41" s="49"/>
      <c r="B41" s="92"/>
      <c r="C41" s="91"/>
      <c r="D41" s="91"/>
      <c r="E41" s="91"/>
      <c r="F41" s="91"/>
      <c r="G41" s="91"/>
      <c r="H41" s="91"/>
      <c r="I41" s="91"/>
      <c r="J41" s="91"/>
      <c r="K41" s="93"/>
      <c r="L41" s="91"/>
      <c r="M41" s="92"/>
      <c r="N41" s="91"/>
      <c r="O41" s="91"/>
      <c r="P41" s="91"/>
      <c r="Q41" s="91"/>
      <c r="R41" s="91"/>
      <c r="S41" s="91"/>
      <c r="T41" s="91"/>
      <c r="U41" s="91"/>
      <c r="V41" s="93"/>
      <c r="W41" s="91"/>
      <c r="X41" s="92"/>
      <c r="Y41" s="91"/>
      <c r="Z41" s="91"/>
      <c r="AA41" s="91"/>
      <c r="AB41" s="91"/>
      <c r="AC41" s="91"/>
      <c r="AD41" s="91"/>
      <c r="AE41" s="91"/>
      <c r="AF41" s="91"/>
      <c r="AG41" s="93"/>
      <c r="AH41" s="91"/>
      <c r="AI41" s="92"/>
      <c r="AJ41" s="91"/>
      <c r="AK41" s="91"/>
      <c r="AL41" s="91"/>
      <c r="AM41" s="91"/>
      <c r="AN41" s="91"/>
      <c r="AO41" s="91"/>
      <c r="AP41" s="91"/>
      <c r="AQ41" s="91"/>
      <c r="AR41" s="93"/>
      <c r="AS41" s="91"/>
      <c r="AT41" s="92"/>
      <c r="AU41" s="91"/>
      <c r="AV41" s="91"/>
      <c r="AW41" s="91"/>
      <c r="AX41" s="91"/>
      <c r="AY41" s="91"/>
      <c r="AZ41" s="91"/>
      <c r="BA41" s="91"/>
      <c r="BB41" s="91"/>
      <c r="BC41" s="91"/>
      <c r="BD41" s="93"/>
      <c r="BE41" s="91"/>
      <c r="BF41" s="92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3"/>
      <c r="BR41" s="93"/>
    </row>
    <row r="42" spans="1:71" s="50" customFormat="1" ht="9" customHeight="1" x14ac:dyDescent="0.25">
      <c r="A42" s="49"/>
      <c r="B42" s="92"/>
      <c r="C42" s="91"/>
      <c r="D42" s="91"/>
      <c r="E42" s="91"/>
      <c r="F42" s="91"/>
      <c r="G42" s="91"/>
      <c r="H42" s="91"/>
      <c r="I42" s="91"/>
      <c r="J42" s="91"/>
      <c r="K42" s="93"/>
      <c r="L42" s="91"/>
      <c r="M42" s="92"/>
      <c r="N42" s="91"/>
      <c r="O42" s="91"/>
      <c r="P42" s="91"/>
      <c r="Q42" s="91"/>
      <c r="R42" s="91"/>
      <c r="S42" s="91"/>
      <c r="T42" s="91"/>
      <c r="U42" s="91"/>
      <c r="V42" s="93"/>
      <c r="W42" s="91"/>
      <c r="X42" s="92"/>
      <c r="Y42" s="91"/>
      <c r="Z42" s="91"/>
      <c r="AA42" s="91"/>
      <c r="AB42" s="91"/>
      <c r="AC42" s="91"/>
      <c r="AD42" s="91"/>
      <c r="AE42" s="91"/>
      <c r="AF42" s="91"/>
      <c r="AG42" s="93"/>
      <c r="AH42" s="91"/>
      <c r="AI42" s="92"/>
      <c r="AJ42" s="91"/>
      <c r="AK42" s="91"/>
      <c r="AL42" s="91"/>
      <c r="AM42" s="91"/>
      <c r="AN42" s="91"/>
      <c r="AO42" s="91"/>
      <c r="AP42" s="91"/>
      <c r="AQ42" s="91"/>
      <c r="AR42" s="93"/>
      <c r="AS42" s="91"/>
      <c r="AT42" s="92"/>
      <c r="AU42" s="91"/>
      <c r="AV42" s="91"/>
      <c r="AW42" s="91"/>
      <c r="AX42" s="91"/>
      <c r="AY42" s="91"/>
      <c r="AZ42" s="91"/>
      <c r="BA42" s="91"/>
      <c r="BB42" s="91"/>
      <c r="BC42" s="91"/>
      <c r="BD42" s="93"/>
      <c r="BE42" s="91"/>
      <c r="BF42" s="92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3"/>
      <c r="BR42" s="93"/>
    </row>
    <row r="43" spans="1:71" s="50" customFormat="1" ht="9" customHeight="1" x14ac:dyDescent="0.25">
      <c r="A43" s="49"/>
      <c r="B43" s="92"/>
      <c r="C43" s="91"/>
      <c r="D43" s="91"/>
      <c r="E43" s="91"/>
      <c r="F43" s="91"/>
      <c r="G43" s="91"/>
      <c r="H43" s="91"/>
      <c r="I43" s="91"/>
      <c r="J43" s="91"/>
      <c r="K43" s="93"/>
      <c r="L43" s="91"/>
      <c r="M43" s="92"/>
      <c r="N43" s="91"/>
      <c r="O43" s="91"/>
      <c r="P43" s="91"/>
      <c r="Q43" s="91"/>
      <c r="R43" s="91"/>
      <c r="S43" s="91"/>
      <c r="T43" s="91"/>
      <c r="U43" s="91"/>
      <c r="V43" s="93"/>
      <c r="W43" s="91"/>
      <c r="X43" s="92"/>
      <c r="Y43" s="91"/>
      <c r="Z43" s="91"/>
      <c r="AA43" s="91"/>
      <c r="AB43" s="91"/>
      <c r="AC43" s="91"/>
      <c r="AD43" s="91"/>
      <c r="AE43" s="91"/>
      <c r="AF43" s="91"/>
      <c r="AG43" s="93"/>
      <c r="AH43" s="91"/>
      <c r="AI43" s="92"/>
      <c r="AJ43" s="91"/>
      <c r="AK43" s="91"/>
      <c r="AL43" s="91"/>
      <c r="AM43" s="91"/>
      <c r="AN43" s="91"/>
      <c r="AO43" s="91"/>
      <c r="AP43" s="91"/>
      <c r="AQ43" s="91"/>
      <c r="AR43" s="93"/>
      <c r="AS43" s="91"/>
      <c r="AT43" s="92"/>
      <c r="AU43" s="91"/>
      <c r="AV43" s="91"/>
      <c r="AW43" s="91"/>
      <c r="AX43" s="91"/>
      <c r="AY43" s="91"/>
      <c r="AZ43" s="91"/>
      <c r="BA43" s="91"/>
      <c r="BB43" s="91"/>
      <c r="BC43" s="91"/>
      <c r="BD43" s="93"/>
      <c r="BE43" s="91"/>
      <c r="BF43" s="92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3"/>
      <c r="BR43" s="93"/>
    </row>
    <row r="44" spans="1:71" s="50" customFormat="1" ht="9" customHeight="1" x14ac:dyDescent="0.25">
      <c r="A44" s="49"/>
      <c r="B44" s="92"/>
      <c r="C44" s="91"/>
      <c r="D44" s="91"/>
      <c r="E44" s="91"/>
      <c r="F44" s="91"/>
      <c r="G44" s="91"/>
      <c r="H44" s="91"/>
      <c r="I44" s="91"/>
      <c r="J44" s="91"/>
      <c r="K44" s="93"/>
      <c r="L44" s="91"/>
      <c r="M44" s="92"/>
      <c r="N44" s="91"/>
      <c r="O44" s="91"/>
      <c r="P44" s="91"/>
      <c r="Q44" s="91"/>
      <c r="R44" s="91"/>
      <c r="S44" s="91"/>
      <c r="T44" s="91"/>
      <c r="U44" s="91"/>
      <c r="V44" s="93"/>
      <c r="W44" s="91"/>
      <c r="X44" s="92"/>
      <c r="Y44" s="91"/>
      <c r="Z44" s="91"/>
      <c r="AA44" s="91"/>
      <c r="AB44" s="91"/>
      <c r="AC44" s="91"/>
      <c r="AD44" s="91"/>
      <c r="AE44" s="91"/>
      <c r="AF44" s="91"/>
      <c r="AG44" s="93"/>
      <c r="AH44" s="91"/>
      <c r="AI44" s="92"/>
      <c r="AJ44" s="91"/>
      <c r="AK44" s="91"/>
      <c r="AL44" s="91"/>
      <c r="AM44" s="91"/>
      <c r="AN44" s="91"/>
      <c r="AO44" s="91"/>
      <c r="AP44" s="91"/>
      <c r="AQ44" s="91"/>
      <c r="AR44" s="93"/>
      <c r="AS44" s="91"/>
      <c r="AT44" s="92"/>
      <c r="AU44" s="91"/>
      <c r="AV44" s="91"/>
      <c r="AW44" s="91"/>
      <c r="AX44" s="91"/>
      <c r="AY44" s="91"/>
      <c r="AZ44" s="91"/>
      <c r="BA44" s="91"/>
      <c r="BB44" s="91"/>
      <c r="BC44" s="91"/>
      <c r="BD44" s="93"/>
      <c r="BE44" s="91"/>
      <c r="BF44" s="92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3"/>
      <c r="BR44" s="93"/>
    </row>
    <row r="45" spans="1:71" s="50" customFormat="1" ht="9" customHeight="1" x14ac:dyDescent="0.25">
      <c r="A45" s="49"/>
      <c r="B45" s="92"/>
      <c r="C45" s="91"/>
      <c r="D45" s="91"/>
      <c r="E45" s="91"/>
      <c r="F45" s="91"/>
      <c r="G45" s="91"/>
      <c r="H45" s="91"/>
      <c r="I45" s="91"/>
      <c r="J45" s="91"/>
      <c r="K45" s="93"/>
      <c r="L45" s="91"/>
      <c r="M45" s="92"/>
      <c r="N45" s="91"/>
      <c r="O45" s="91"/>
      <c r="P45" s="91"/>
      <c r="Q45" s="91"/>
      <c r="R45" s="91"/>
      <c r="S45" s="91"/>
      <c r="T45" s="91"/>
      <c r="U45" s="91"/>
      <c r="V45" s="93"/>
      <c r="W45" s="91"/>
      <c r="X45" s="92"/>
      <c r="Y45" s="91"/>
      <c r="Z45" s="91"/>
      <c r="AA45" s="91"/>
      <c r="AB45" s="91"/>
      <c r="AC45" s="91"/>
      <c r="AD45" s="91"/>
      <c r="AE45" s="91"/>
      <c r="AF45" s="91"/>
      <c r="AG45" s="93"/>
      <c r="AH45" s="91"/>
      <c r="AI45" s="92"/>
      <c r="AJ45" s="91"/>
      <c r="AK45" s="91"/>
      <c r="AL45" s="91"/>
      <c r="AM45" s="91"/>
      <c r="AN45" s="91"/>
      <c r="AO45" s="91"/>
      <c r="AP45" s="91"/>
      <c r="AQ45" s="91"/>
      <c r="AR45" s="93"/>
      <c r="AS45" s="91"/>
      <c r="AT45" s="92"/>
      <c r="AU45" s="91"/>
      <c r="AV45" s="91"/>
      <c r="AW45" s="91"/>
      <c r="AX45" s="91"/>
      <c r="AY45" s="91"/>
      <c r="AZ45" s="91"/>
      <c r="BA45" s="91"/>
      <c r="BB45" s="91"/>
      <c r="BC45" s="91"/>
      <c r="BD45" s="93"/>
      <c r="BE45" s="91"/>
      <c r="BF45" s="92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3"/>
      <c r="BR45" s="93"/>
    </row>
    <row r="46" spans="1:71" s="50" customFormat="1" ht="9" customHeight="1" x14ac:dyDescent="0.25">
      <c r="A46" s="49"/>
      <c r="B46" s="92"/>
      <c r="C46" s="91"/>
      <c r="D46" s="91"/>
      <c r="E46" s="91"/>
      <c r="F46" s="91"/>
      <c r="G46" s="91"/>
      <c r="H46" s="91"/>
      <c r="I46" s="91"/>
      <c r="J46" s="91"/>
      <c r="K46" s="93"/>
      <c r="L46" s="91"/>
      <c r="M46" s="92"/>
      <c r="N46" s="91"/>
      <c r="O46" s="91"/>
      <c r="P46" s="91"/>
      <c r="Q46" s="91"/>
      <c r="R46" s="91"/>
      <c r="S46" s="91"/>
      <c r="T46" s="91"/>
      <c r="U46" s="91"/>
      <c r="V46" s="93"/>
      <c r="W46" s="91"/>
      <c r="X46" s="92"/>
      <c r="Y46" s="91"/>
      <c r="Z46" s="91"/>
      <c r="AA46" s="91"/>
      <c r="AB46" s="91"/>
      <c r="AC46" s="91"/>
      <c r="AD46" s="91"/>
      <c r="AE46" s="91"/>
      <c r="AF46" s="91"/>
      <c r="AG46" s="93"/>
      <c r="AH46" s="91"/>
      <c r="AI46" s="92"/>
      <c r="AJ46" s="91"/>
      <c r="AK46" s="91"/>
      <c r="AL46" s="91"/>
      <c r="AM46" s="91"/>
      <c r="AN46" s="91"/>
      <c r="AO46" s="91"/>
      <c r="AP46" s="91"/>
      <c r="AQ46" s="91"/>
      <c r="AR46" s="93"/>
      <c r="AS46" s="91"/>
      <c r="AT46" s="92"/>
      <c r="AU46" s="91"/>
      <c r="AV46" s="91"/>
      <c r="AW46" s="91"/>
      <c r="AX46" s="91"/>
      <c r="AY46" s="91"/>
      <c r="AZ46" s="91"/>
      <c r="BA46" s="91"/>
      <c r="BB46" s="91"/>
      <c r="BC46" s="91"/>
      <c r="BD46" s="93"/>
      <c r="BE46" s="91"/>
      <c r="BF46" s="92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3"/>
      <c r="BR46" s="93"/>
    </row>
    <row r="47" spans="1:71" s="50" customFormat="1" ht="9" customHeight="1" x14ac:dyDescent="0.25">
      <c r="A47" s="49"/>
      <c r="B47" s="92"/>
      <c r="C47" s="91"/>
      <c r="D47" s="91"/>
      <c r="E47" s="91"/>
      <c r="F47" s="91"/>
      <c r="G47" s="91"/>
      <c r="H47" s="91"/>
      <c r="I47" s="91"/>
      <c r="J47" s="91"/>
      <c r="K47" s="93"/>
      <c r="L47" s="91"/>
      <c r="M47" s="92"/>
      <c r="N47" s="91"/>
      <c r="O47" s="91"/>
      <c r="P47" s="91"/>
      <c r="Q47" s="91"/>
      <c r="R47" s="91"/>
      <c r="S47" s="91"/>
      <c r="T47" s="91"/>
      <c r="U47" s="91"/>
      <c r="V47" s="93"/>
      <c r="W47" s="91"/>
      <c r="X47" s="92"/>
      <c r="Y47" s="91"/>
      <c r="Z47" s="91"/>
      <c r="AA47" s="91"/>
      <c r="AB47" s="91"/>
      <c r="AC47" s="91"/>
      <c r="AD47" s="91"/>
      <c r="AE47" s="91"/>
      <c r="AF47" s="91"/>
      <c r="AG47" s="93"/>
      <c r="AH47" s="91"/>
      <c r="AI47" s="92"/>
      <c r="AJ47" s="91"/>
      <c r="AK47" s="91"/>
      <c r="AL47" s="91"/>
      <c r="AM47" s="91"/>
      <c r="AN47" s="91"/>
      <c r="AO47" s="91"/>
      <c r="AP47" s="91"/>
      <c r="AQ47" s="91"/>
      <c r="AR47" s="93"/>
      <c r="AS47" s="91"/>
      <c r="AT47" s="92"/>
      <c r="AU47" s="91"/>
      <c r="AV47" s="91"/>
      <c r="AW47" s="91"/>
      <c r="AX47" s="91"/>
      <c r="AY47" s="91"/>
      <c r="AZ47" s="91"/>
      <c r="BA47" s="91"/>
      <c r="BB47" s="91"/>
      <c r="BC47" s="91"/>
      <c r="BD47" s="93"/>
      <c r="BE47" s="91"/>
      <c r="BF47" s="92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3"/>
      <c r="BR47" s="93"/>
    </row>
    <row r="48" spans="1:71" s="50" customFormat="1" ht="9" customHeight="1" x14ac:dyDescent="0.25">
      <c r="A48" s="49"/>
      <c r="B48" s="297" t="s">
        <v>317</v>
      </c>
      <c r="C48" s="291"/>
      <c r="D48" s="291"/>
      <c r="E48" s="291"/>
      <c r="F48" s="291"/>
      <c r="G48" s="291"/>
      <c r="H48" s="291"/>
      <c r="I48" s="291"/>
      <c r="J48" s="291"/>
      <c r="K48" s="293"/>
      <c r="L48" s="98"/>
      <c r="M48" s="297" t="s">
        <v>318</v>
      </c>
      <c r="N48" s="291"/>
      <c r="O48" s="291"/>
      <c r="P48" s="291"/>
      <c r="Q48" s="291"/>
      <c r="R48" s="291"/>
      <c r="S48" s="291"/>
      <c r="T48" s="291"/>
      <c r="U48" s="291"/>
      <c r="V48" s="293"/>
      <c r="W48" s="98"/>
      <c r="X48" s="297" t="s">
        <v>319</v>
      </c>
      <c r="Y48" s="291"/>
      <c r="Z48" s="291"/>
      <c r="AA48" s="291"/>
      <c r="AB48" s="291"/>
      <c r="AC48" s="291"/>
      <c r="AD48" s="291"/>
      <c r="AE48" s="291"/>
      <c r="AF48" s="291"/>
      <c r="AG48" s="293"/>
      <c r="AH48" s="98"/>
      <c r="AI48" s="297" t="s">
        <v>320</v>
      </c>
      <c r="AJ48" s="291"/>
      <c r="AK48" s="291"/>
      <c r="AL48" s="291"/>
      <c r="AM48" s="291"/>
      <c r="AN48" s="291"/>
      <c r="AO48" s="291"/>
      <c r="AP48" s="291"/>
      <c r="AQ48" s="291"/>
      <c r="AR48" s="293"/>
      <c r="AS48" s="98"/>
      <c r="AT48" s="297" t="s">
        <v>321</v>
      </c>
      <c r="AU48" s="291"/>
      <c r="AV48" s="291"/>
      <c r="AW48" s="291"/>
      <c r="AX48" s="291"/>
      <c r="AY48" s="291"/>
      <c r="AZ48" s="291"/>
      <c r="BA48" s="291"/>
      <c r="BB48" s="291"/>
      <c r="BC48" s="291"/>
      <c r="BD48" s="293"/>
      <c r="BE48" s="98"/>
      <c r="BF48" s="297" t="s">
        <v>322</v>
      </c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3"/>
      <c r="BR48" s="93"/>
    </row>
    <row r="49" spans="1:70" s="50" customFormat="1" ht="9" customHeight="1" x14ac:dyDescent="0.25">
      <c r="A49" s="49"/>
      <c r="B49" s="314" t="s">
        <v>342</v>
      </c>
      <c r="C49" s="315"/>
      <c r="D49" s="315"/>
      <c r="E49" s="315"/>
      <c r="F49" s="315"/>
      <c r="G49" s="315"/>
      <c r="H49" s="315"/>
      <c r="I49" s="315"/>
      <c r="J49" s="315"/>
      <c r="K49" s="316"/>
      <c r="L49" s="154"/>
      <c r="M49" s="314" t="s">
        <v>342</v>
      </c>
      <c r="N49" s="315"/>
      <c r="O49" s="315"/>
      <c r="P49" s="315"/>
      <c r="Q49" s="315"/>
      <c r="R49" s="315"/>
      <c r="S49" s="315"/>
      <c r="T49" s="315"/>
      <c r="U49" s="315"/>
      <c r="V49" s="316"/>
      <c r="W49" s="154"/>
      <c r="X49" s="314" t="s">
        <v>342</v>
      </c>
      <c r="Y49" s="315"/>
      <c r="Z49" s="315"/>
      <c r="AA49" s="315"/>
      <c r="AB49" s="315"/>
      <c r="AC49" s="315"/>
      <c r="AD49" s="315"/>
      <c r="AE49" s="315"/>
      <c r="AF49" s="315"/>
      <c r="AG49" s="316"/>
      <c r="AH49" s="154"/>
      <c r="AI49" s="314" t="s">
        <v>342</v>
      </c>
      <c r="AJ49" s="315"/>
      <c r="AK49" s="315"/>
      <c r="AL49" s="315"/>
      <c r="AM49" s="315"/>
      <c r="AN49" s="315"/>
      <c r="AO49" s="315"/>
      <c r="AP49" s="315"/>
      <c r="AQ49" s="315"/>
      <c r="AR49" s="316"/>
      <c r="AS49" s="154"/>
      <c r="AT49" s="314" t="s">
        <v>342</v>
      </c>
      <c r="AU49" s="315"/>
      <c r="AV49" s="315"/>
      <c r="AW49" s="315"/>
      <c r="AX49" s="315"/>
      <c r="AY49" s="315"/>
      <c r="AZ49" s="315"/>
      <c r="BA49" s="315"/>
      <c r="BB49" s="315"/>
      <c r="BC49" s="315"/>
      <c r="BD49" s="316"/>
      <c r="BE49" s="154"/>
      <c r="BF49" s="314" t="s">
        <v>342</v>
      </c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6"/>
      <c r="BR49" s="93"/>
    </row>
    <row r="50" spans="1:70" s="50" customFormat="1" ht="9" customHeight="1" x14ac:dyDescent="0.25">
      <c r="A50" s="49"/>
      <c r="B50" s="241" t="s">
        <v>323</v>
      </c>
      <c r="C50" s="241"/>
      <c r="D50" s="241"/>
      <c r="E50" s="241"/>
      <c r="F50" s="241"/>
      <c r="G50" s="241"/>
      <c r="H50" s="240">
        <f>CEILING(2612*B3,1)</f>
        <v>4963</v>
      </c>
      <c r="I50" s="240"/>
      <c r="J50" s="240"/>
      <c r="K50" s="240"/>
      <c r="L50" s="42"/>
      <c r="M50" s="241" t="s">
        <v>324</v>
      </c>
      <c r="N50" s="241"/>
      <c r="O50" s="241"/>
      <c r="P50" s="241"/>
      <c r="Q50" s="241"/>
      <c r="R50" s="241"/>
      <c r="S50" s="240">
        <f>CEILING(4203*B3,1)</f>
        <v>7986</v>
      </c>
      <c r="T50" s="240"/>
      <c r="U50" s="240"/>
      <c r="V50" s="240"/>
      <c r="W50" s="42"/>
      <c r="X50" s="241" t="s">
        <v>325</v>
      </c>
      <c r="Y50" s="241"/>
      <c r="Z50" s="241"/>
      <c r="AA50" s="241"/>
      <c r="AB50" s="241"/>
      <c r="AC50" s="241"/>
      <c r="AD50" s="240">
        <f>CEILING(6288*B3,1)</f>
        <v>11948</v>
      </c>
      <c r="AE50" s="240"/>
      <c r="AF50" s="240"/>
      <c r="AG50" s="240"/>
      <c r="AH50" s="2"/>
      <c r="AI50" s="241" t="s">
        <v>326</v>
      </c>
      <c r="AJ50" s="241"/>
      <c r="AK50" s="241"/>
      <c r="AL50" s="241"/>
      <c r="AM50" s="241"/>
      <c r="AN50" s="241"/>
      <c r="AO50" s="240">
        <f>CEILING(8427*B3,1)</f>
        <v>16012</v>
      </c>
      <c r="AP50" s="240"/>
      <c r="AQ50" s="240"/>
      <c r="AR50" s="240"/>
      <c r="AS50" s="2"/>
      <c r="AT50" s="241" t="s">
        <v>327</v>
      </c>
      <c r="AU50" s="241"/>
      <c r="AV50" s="241"/>
      <c r="AW50" s="241"/>
      <c r="AX50" s="241"/>
      <c r="AY50" s="241"/>
      <c r="AZ50" s="241"/>
      <c r="BA50" s="240">
        <f>CEILING(10440*B3,1)</f>
        <v>19836</v>
      </c>
      <c r="BB50" s="240"/>
      <c r="BC50" s="240"/>
      <c r="BD50" s="240"/>
      <c r="BE50" s="2"/>
      <c r="BF50" s="241" t="s">
        <v>328</v>
      </c>
      <c r="BG50" s="241"/>
      <c r="BH50" s="241"/>
      <c r="BI50" s="241"/>
      <c r="BJ50" s="241"/>
      <c r="BK50" s="241"/>
      <c r="BL50" s="241"/>
      <c r="BM50" s="241"/>
      <c r="BN50" s="240">
        <f>CEILING(12340*B3,1)</f>
        <v>23446</v>
      </c>
      <c r="BO50" s="240"/>
      <c r="BP50" s="240"/>
      <c r="BQ50" s="240"/>
      <c r="BR50" s="93"/>
    </row>
    <row r="51" spans="1:70" s="50" customFormat="1" ht="2.1" customHeight="1" x14ac:dyDescent="0.25">
      <c r="A51" s="49"/>
      <c r="B51" s="92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103"/>
      <c r="AZ51" s="103"/>
      <c r="BA51" s="103"/>
      <c r="BB51" s="103"/>
      <c r="BC51" s="103"/>
      <c r="BD51" s="103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3"/>
      <c r="BR51" s="93"/>
    </row>
    <row r="52" spans="1:70" s="50" customFormat="1" ht="9" customHeight="1" x14ac:dyDescent="0.25">
      <c r="A52" s="49" t="s">
        <v>108</v>
      </c>
      <c r="B52" s="310" t="s">
        <v>343</v>
      </c>
      <c r="C52" s="311"/>
      <c r="D52" s="311"/>
      <c r="E52" s="311"/>
      <c r="F52" s="312"/>
      <c r="G52" s="100"/>
      <c r="H52" s="100"/>
      <c r="I52" s="100"/>
      <c r="J52" s="100"/>
      <c r="K52" s="101"/>
      <c r="L52" s="89"/>
      <c r="M52" s="310" t="s">
        <v>344</v>
      </c>
      <c r="N52" s="311"/>
      <c r="O52" s="311"/>
      <c r="P52" s="311"/>
      <c r="Q52" s="312"/>
      <c r="R52" s="100"/>
      <c r="S52" s="100"/>
      <c r="T52" s="100"/>
      <c r="U52" s="100"/>
      <c r="V52" s="101"/>
      <c r="W52" s="89"/>
      <c r="X52" s="310" t="s">
        <v>345</v>
      </c>
      <c r="Y52" s="311"/>
      <c r="Z52" s="311"/>
      <c r="AA52" s="311"/>
      <c r="AB52" s="312"/>
      <c r="AC52" s="100"/>
      <c r="AD52" s="100"/>
      <c r="AE52" s="100"/>
      <c r="AF52" s="100"/>
      <c r="AG52" s="101"/>
      <c r="AH52" s="91"/>
      <c r="AI52" s="310" t="s">
        <v>346</v>
      </c>
      <c r="AJ52" s="311"/>
      <c r="AK52" s="311"/>
      <c r="AL52" s="311"/>
      <c r="AM52" s="312"/>
      <c r="AN52" s="100"/>
      <c r="AO52" s="100"/>
      <c r="AP52" s="100"/>
      <c r="AQ52" s="100"/>
      <c r="AR52" s="101"/>
      <c r="AS52" s="91"/>
      <c r="AT52" s="310" t="s">
        <v>347</v>
      </c>
      <c r="AU52" s="311"/>
      <c r="AV52" s="311"/>
      <c r="AW52" s="311"/>
      <c r="AX52" s="312"/>
      <c r="AY52" s="155"/>
      <c r="AZ52" s="155"/>
      <c r="BA52" s="155"/>
      <c r="BB52" s="155"/>
      <c r="BC52" s="155"/>
      <c r="BD52" s="156"/>
      <c r="BE52" s="91"/>
      <c r="BF52" s="310" t="s">
        <v>348</v>
      </c>
      <c r="BG52" s="311"/>
      <c r="BH52" s="311"/>
      <c r="BI52" s="311"/>
      <c r="BJ52" s="312"/>
      <c r="BK52" s="100"/>
      <c r="BL52" s="100"/>
      <c r="BM52" s="100"/>
      <c r="BN52" s="100"/>
      <c r="BO52" s="100"/>
      <c r="BP52" s="100"/>
      <c r="BQ52" s="101"/>
      <c r="BR52" s="93"/>
    </row>
    <row r="53" spans="1:70" s="50" customFormat="1" ht="9" customHeight="1" x14ac:dyDescent="0.25">
      <c r="A53" s="49"/>
      <c r="B53" s="92"/>
      <c r="C53" s="91"/>
      <c r="D53" s="91"/>
      <c r="E53" s="91"/>
      <c r="F53" s="91"/>
      <c r="G53" s="91"/>
      <c r="H53" s="91"/>
      <c r="I53" s="91"/>
      <c r="J53" s="91"/>
      <c r="K53" s="93"/>
      <c r="L53" s="91"/>
      <c r="M53" s="92"/>
      <c r="N53" s="91"/>
      <c r="O53" s="91"/>
      <c r="P53" s="91"/>
      <c r="Q53" s="91"/>
      <c r="R53" s="91"/>
      <c r="S53" s="91"/>
      <c r="T53" s="91"/>
      <c r="U53" s="91"/>
      <c r="V53" s="93"/>
      <c r="W53" s="91"/>
      <c r="X53" s="92"/>
      <c r="Y53" s="91"/>
      <c r="Z53" s="91"/>
      <c r="AA53" s="91"/>
      <c r="AB53" s="91"/>
      <c r="AC53" s="91"/>
      <c r="AD53" s="91"/>
      <c r="AE53" s="91"/>
      <c r="AF53" s="91"/>
      <c r="AG53" s="93"/>
      <c r="AH53" s="91"/>
      <c r="AI53" s="92"/>
      <c r="AJ53" s="91"/>
      <c r="AK53" s="91"/>
      <c r="AL53" s="91"/>
      <c r="AM53" s="91"/>
      <c r="AN53" s="91"/>
      <c r="AO53" s="91"/>
      <c r="AP53" s="91"/>
      <c r="AQ53" s="91"/>
      <c r="AR53" s="93"/>
      <c r="AS53" s="91"/>
      <c r="AT53" s="92"/>
      <c r="AU53" s="91"/>
      <c r="AV53" s="91"/>
      <c r="AW53" s="91"/>
      <c r="AX53" s="91"/>
      <c r="AY53" s="91"/>
      <c r="AZ53" s="91"/>
      <c r="BA53" s="91"/>
      <c r="BB53" s="91"/>
      <c r="BC53" s="91"/>
      <c r="BD53" s="93"/>
      <c r="BE53" s="91"/>
      <c r="BF53" s="92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3"/>
      <c r="BR53" s="93"/>
    </row>
    <row r="54" spans="1:70" s="50" customFormat="1" ht="9" customHeight="1" x14ac:dyDescent="0.25">
      <c r="A54" s="49"/>
      <c r="B54" s="92"/>
      <c r="C54" s="91"/>
      <c r="D54" s="91"/>
      <c r="E54" s="91"/>
      <c r="F54" s="91"/>
      <c r="G54" s="91"/>
      <c r="H54" s="91"/>
      <c r="I54" s="91"/>
      <c r="J54" s="91"/>
      <c r="K54" s="93"/>
      <c r="L54" s="91"/>
      <c r="M54" s="92"/>
      <c r="N54" s="91"/>
      <c r="O54" s="91"/>
      <c r="P54" s="91"/>
      <c r="Q54" s="91"/>
      <c r="R54" s="91"/>
      <c r="S54" s="91"/>
      <c r="T54" s="91"/>
      <c r="U54" s="91"/>
      <c r="V54" s="93"/>
      <c r="W54" s="91"/>
      <c r="X54" s="92"/>
      <c r="Y54" s="91"/>
      <c r="Z54" s="91"/>
      <c r="AA54" s="91"/>
      <c r="AB54" s="91"/>
      <c r="AC54" s="91"/>
      <c r="AD54" s="91"/>
      <c r="AE54" s="91"/>
      <c r="AF54" s="91"/>
      <c r="AG54" s="93"/>
      <c r="AH54" s="91"/>
      <c r="AI54" s="92"/>
      <c r="AJ54" s="91"/>
      <c r="AK54" s="91"/>
      <c r="AL54" s="91"/>
      <c r="AM54" s="91"/>
      <c r="AN54" s="91"/>
      <c r="AO54" s="91"/>
      <c r="AP54" s="91"/>
      <c r="AQ54" s="91"/>
      <c r="AR54" s="93"/>
      <c r="AS54" s="91"/>
      <c r="AT54" s="92"/>
      <c r="AU54" s="91"/>
      <c r="AV54" s="91"/>
      <c r="AW54" s="91"/>
      <c r="AX54" s="91"/>
      <c r="AY54" s="91"/>
      <c r="AZ54" s="91"/>
      <c r="BA54" s="91"/>
      <c r="BB54" s="91"/>
      <c r="BC54" s="91"/>
      <c r="BD54" s="93"/>
      <c r="BE54" s="91"/>
      <c r="BF54" s="92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3"/>
      <c r="BR54" s="93"/>
    </row>
    <row r="55" spans="1:70" s="50" customFormat="1" ht="9" customHeight="1" x14ac:dyDescent="0.25">
      <c r="A55" s="49"/>
      <c r="B55" s="92"/>
      <c r="C55" s="91"/>
      <c r="D55" s="91"/>
      <c r="E55" s="91"/>
      <c r="F55" s="91"/>
      <c r="G55" s="91"/>
      <c r="H55" s="91"/>
      <c r="I55" s="91"/>
      <c r="J55" s="91"/>
      <c r="K55" s="93"/>
      <c r="L55" s="91"/>
      <c r="M55" s="92"/>
      <c r="N55" s="91"/>
      <c r="O55" s="91"/>
      <c r="P55" s="91"/>
      <c r="Q55" s="91"/>
      <c r="R55" s="91"/>
      <c r="S55" s="91"/>
      <c r="T55" s="91"/>
      <c r="U55" s="91"/>
      <c r="V55" s="93"/>
      <c r="W55" s="91"/>
      <c r="X55" s="92"/>
      <c r="Y55" s="91"/>
      <c r="Z55" s="91"/>
      <c r="AA55" s="91"/>
      <c r="AB55" s="91"/>
      <c r="AC55" s="91"/>
      <c r="AD55" s="91"/>
      <c r="AE55" s="91"/>
      <c r="AF55" s="91"/>
      <c r="AG55" s="93"/>
      <c r="AH55" s="91"/>
      <c r="AI55" s="92"/>
      <c r="AJ55" s="91"/>
      <c r="AK55" s="91"/>
      <c r="AL55" s="91"/>
      <c r="AM55" s="91"/>
      <c r="AN55" s="91"/>
      <c r="AO55" s="91"/>
      <c r="AP55" s="91"/>
      <c r="AQ55" s="91"/>
      <c r="AR55" s="93"/>
      <c r="AS55" s="91"/>
      <c r="AT55" s="92"/>
      <c r="AU55" s="91"/>
      <c r="AV55" s="91"/>
      <c r="AW55" s="91"/>
      <c r="AX55" s="91"/>
      <c r="AY55" s="91"/>
      <c r="AZ55" s="91"/>
      <c r="BA55" s="91"/>
      <c r="BB55" s="91"/>
      <c r="BC55" s="91"/>
      <c r="BD55" s="93"/>
      <c r="BE55" s="91"/>
      <c r="BF55" s="92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3"/>
      <c r="BR55" s="93"/>
    </row>
    <row r="56" spans="1:70" s="50" customFormat="1" ht="9" customHeight="1" x14ac:dyDescent="0.25">
      <c r="A56" s="49"/>
      <c r="B56" s="92"/>
      <c r="C56" s="91"/>
      <c r="D56" s="91"/>
      <c r="E56" s="91"/>
      <c r="F56" s="91"/>
      <c r="G56" s="91"/>
      <c r="H56" s="91"/>
      <c r="I56" s="91"/>
      <c r="J56" s="91"/>
      <c r="K56" s="93"/>
      <c r="L56" s="91"/>
      <c r="M56" s="92"/>
      <c r="N56" s="91"/>
      <c r="O56" s="91"/>
      <c r="P56" s="91"/>
      <c r="Q56" s="91"/>
      <c r="R56" s="91"/>
      <c r="S56" s="91"/>
      <c r="T56" s="91"/>
      <c r="U56" s="91"/>
      <c r="V56" s="93"/>
      <c r="W56" s="91"/>
      <c r="X56" s="92"/>
      <c r="Y56" s="91"/>
      <c r="Z56" s="91"/>
      <c r="AA56" s="91"/>
      <c r="AB56" s="91"/>
      <c r="AC56" s="91"/>
      <c r="AD56" s="91"/>
      <c r="AE56" s="91"/>
      <c r="AF56" s="91"/>
      <c r="AG56" s="93"/>
      <c r="AH56" s="91"/>
      <c r="AI56" s="92"/>
      <c r="AJ56" s="91"/>
      <c r="AK56" s="91"/>
      <c r="AL56" s="91"/>
      <c r="AM56" s="91"/>
      <c r="AN56" s="91"/>
      <c r="AO56" s="91"/>
      <c r="AP56" s="91"/>
      <c r="AQ56" s="91"/>
      <c r="AR56" s="93"/>
      <c r="AS56" s="91"/>
      <c r="AT56" s="92"/>
      <c r="AU56" s="91"/>
      <c r="AV56" s="91"/>
      <c r="AW56" s="91"/>
      <c r="AX56" s="91"/>
      <c r="AY56" s="91"/>
      <c r="AZ56" s="91"/>
      <c r="BA56" s="91"/>
      <c r="BB56" s="91"/>
      <c r="BC56" s="91"/>
      <c r="BD56" s="93"/>
      <c r="BE56" s="91"/>
      <c r="BF56" s="92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3"/>
      <c r="BR56" s="93"/>
    </row>
    <row r="57" spans="1:70" s="50" customFormat="1" ht="9" customHeight="1" x14ac:dyDescent="0.25">
      <c r="A57" s="49"/>
      <c r="B57" s="92"/>
      <c r="C57" s="91"/>
      <c r="D57" s="91"/>
      <c r="E57" s="91"/>
      <c r="F57" s="91"/>
      <c r="G57" s="91"/>
      <c r="H57" s="91"/>
      <c r="I57" s="91"/>
      <c r="J57" s="91"/>
      <c r="K57" s="93"/>
      <c r="L57" s="91"/>
      <c r="M57" s="92"/>
      <c r="N57" s="91"/>
      <c r="O57" s="91"/>
      <c r="P57" s="91"/>
      <c r="Q57" s="91"/>
      <c r="R57" s="91"/>
      <c r="S57" s="91"/>
      <c r="T57" s="91"/>
      <c r="U57" s="91"/>
      <c r="V57" s="93"/>
      <c r="W57" s="91"/>
      <c r="X57" s="92"/>
      <c r="Y57" s="91"/>
      <c r="Z57" s="91"/>
      <c r="AA57" s="91"/>
      <c r="AB57" s="91"/>
      <c r="AC57" s="91"/>
      <c r="AD57" s="91"/>
      <c r="AE57" s="91"/>
      <c r="AF57" s="91"/>
      <c r="AG57" s="93"/>
      <c r="AH57" s="91"/>
      <c r="AI57" s="92"/>
      <c r="AJ57" s="91"/>
      <c r="AK57" s="91"/>
      <c r="AL57" s="91"/>
      <c r="AM57" s="91"/>
      <c r="AN57" s="91"/>
      <c r="AO57" s="91"/>
      <c r="AP57" s="91"/>
      <c r="AQ57" s="91"/>
      <c r="AR57" s="93"/>
      <c r="AS57" s="91"/>
      <c r="AT57" s="92"/>
      <c r="AU57" s="91"/>
      <c r="AV57" s="91"/>
      <c r="AW57" s="91"/>
      <c r="AX57" s="91"/>
      <c r="AY57" s="91"/>
      <c r="AZ57" s="91"/>
      <c r="BA57" s="91"/>
      <c r="BB57" s="91"/>
      <c r="BC57" s="91"/>
      <c r="BD57" s="93"/>
      <c r="BE57" s="91"/>
      <c r="BF57" s="92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3"/>
      <c r="BR57" s="93"/>
    </row>
    <row r="58" spans="1:70" s="50" customFormat="1" ht="9" customHeight="1" x14ac:dyDescent="0.25">
      <c r="A58" s="49"/>
      <c r="B58" s="92"/>
      <c r="C58" s="91"/>
      <c r="D58" s="91"/>
      <c r="E58" s="91"/>
      <c r="F58" s="91"/>
      <c r="G58" s="91"/>
      <c r="H58" s="91"/>
      <c r="I58" s="91"/>
      <c r="J58" s="91"/>
      <c r="K58" s="93"/>
      <c r="L58" s="91"/>
      <c r="M58" s="92"/>
      <c r="N58" s="91"/>
      <c r="O58" s="91"/>
      <c r="P58" s="91"/>
      <c r="Q58" s="91"/>
      <c r="R58" s="91"/>
      <c r="S58" s="91"/>
      <c r="T58" s="91"/>
      <c r="U58" s="91"/>
      <c r="V58" s="93"/>
      <c r="W58" s="91"/>
      <c r="X58" s="92"/>
      <c r="Y58" s="91"/>
      <c r="Z58" s="91"/>
      <c r="AA58" s="91"/>
      <c r="AB58" s="91"/>
      <c r="AC58" s="91"/>
      <c r="AD58" s="91"/>
      <c r="AE58" s="91"/>
      <c r="AF58" s="91"/>
      <c r="AG58" s="93"/>
      <c r="AH58" s="91"/>
      <c r="AI58" s="92"/>
      <c r="AJ58" s="91"/>
      <c r="AK58" s="91"/>
      <c r="AL58" s="91"/>
      <c r="AM58" s="91"/>
      <c r="AN58" s="91"/>
      <c r="AO58" s="91"/>
      <c r="AP58" s="91"/>
      <c r="AQ58" s="91"/>
      <c r="AR58" s="93"/>
      <c r="AS58" s="91"/>
      <c r="AT58" s="92"/>
      <c r="AU58" s="91"/>
      <c r="AV58" s="91"/>
      <c r="AW58" s="91"/>
      <c r="AX58" s="91"/>
      <c r="AY58" s="91"/>
      <c r="AZ58" s="91"/>
      <c r="BA58" s="91"/>
      <c r="BB58" s="91"/>
      <c r="BC58" s="91"/>
      <c r="BD58" s="93"/>
      <c r="BE58" s="91"/>
      <c r="BF58" s="92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3"/>
      <c r="BR58" s="93"/>
    </row>
    <row r="59" spans="1:70" s="50" customFormat="1" ht="9" customHeight="1" x14ac:dyDescent="0.25">
      <c r="A59" s="49"/>
      <c r="B59" s="92"/>
      <c r="C59" s="91"/>
      <c r="D59" s="91"/>
      <c r="E59" s="91"/>
      <c r="F59" s="91"/>
      <c r="G59" s="91"/>
      <c r="H59" s="91"/>
      <c r="I59" s="91"/>
      <c r="J59" s="91"/>
      <c r="K59" s="93"/>
      <c r="L59" s="91"/>
      <c r="M59" s="92"/>
      <c r="N59" s="91"/>
      <c r="O59" s="91"/>
      <c r="P59" s="91"/>
      <c r="Q59" s="91"/>
      <c r="R59" s="91"/>
      <c r="S59" s="91"/>
      <c r="T59" s="91"/>
      <c r="U59" s="91"/>
      <c r="V59" s="93"/>
      <c r="W59" s="91"/>
      <c r="X59" s="92"/>
      <c r="Y59" s="91"/>
      <c r="Z59" s="91"/>
      <c r="AA59" s="91"/>
      <c r="AB59" s="91"/>
      <c r="AC59" s="91"/>
      <c r="AD59" s="91"/>
      <c r="AE59" s="91"/>
      <c r="AF59" s="91"/>
      <c r="AG59" s="93"/>
      <c r="AH59" s="91"/>
      <c r="AI59" s="92"/>
      <c r="AJ59" s="91"/>
      <c r="AK59" s="91"/>
      <c r="AL59" s="91"/>
      <c r="AM59" s="91"/>
      <c r="AN59" s="91"/>
      <c r="AO59" s="91"/>
      <c r="AP59" s="91"/>
      <c r="AQ59" s="91"/>
      <c r="AR59" s="93"/>
      <c r="AS59" s="91"/>
      <c r="AT59" s="92"/>
      <c r="AU59" s="91"/>
      <c r="AV59" s="91"/>
      <c r="AW59" s="91"/>
      <c r="AX59" s="91"/>
      <c r="AY59" s="91"/>
      <c r="AZ59" s="91"/>
      <c r="BA59" s="91"/>
      <c r="BB59" s="91"/>
      <c r="BC59" s="91"/>
      <c r="BD59" s="93"/>
      <c r="BE59" s="91"/>
      <c r="BF59" s="92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3"/>
      <c r="BR59" s="93"/>
    </row>
    <row r="60" spans="1:70" s="50" customFormat="1" ht="9" customHeight="1" x14ac:dyDescent="0.25">
      <c r="A60" s="49"/>
      <c r="B60" s="92"/>
      <c r="C60" s="91"/>
      <c r="D60" s="91"/>
      <c r="E60" s="91"/>
      <c r="F60" s="91"/>
      <c r="G60" s="91"/>
      <c r="H60" s="91"/>
      <c r="I60" s="91"/>
      <c r="J60" s="91"/>
      <c r="K60" s="93"/>
      <c r="L60" s="91"/>
      <c r="M60" s="92"/>
      <c r="N60" s="91"/>
      <c r="O60" s="91"/>
      <c r="P60" s="91"/>
      <c r="Q60" s="91"/>
      <c r="R60" s="91"/>
      <c r="S60" s="91"/>
      <c r="T60" s="91"/>
      <c r="U60" s="91"/>
      <c r="V60" s="93"/>
      <c r="W60" s="91"/>
      <c r="X60" s="92"/>
      <c r="Y60" s="91"/>
      <c r="Z60" s="91"/>
      <c r="AA60" s="91"/>
      <c r="AB60" s="91"/>
      <c r="AC60" s="91"/>
      <c r="AD60" s="91"/>
      <c r="AE60" s="91"/>
      <c r="AF60" s="91"/>
      <c r="AG60" s="93"/>
      <c r="AH60" s="91"/>
      <c r="AI60" s="92"/>
      <c r="AJ60" s="91"/>
      <c r="AK60" s="91"/>
      <c r="AL60" s="91"/>
      <c r="AM60" s="91"/>
      <c r="AN60" s="91"/>
      <c r="AO60" s="91"/>
      <c r="AP60" s="91"/>
      <c r="AQ60" s="91"/>
      <c r="AR60" s="93"/>
      <c r="AS60" s="91"/>
      <c r="AT60" s="92"/>
      <c r="AU60" s="91"/>
      <c r="AV60" s="91"/>
      <c r="AW60" s="91"/>
      <c r="AX60" s="91"/>
      <c r="AY60" s="91"/>
      <c r="AZ60" s="91"/>
      <c r="BA60" s="91"/>
      <c r="BB60" s="91"/>
      <c r="BC60" s="91"/>
      <c r="BD60" s="93"/>
      <c r="BE60" s="91"/>
      <c r="BF60" s="92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3"/>
      <c r="BR60" s="93"/>
    </row>
    <row r="61" spans="1:70" s="50" customFormat="1" ht="9" customHeight="1" x14ac:dyDescent="0.25">
      <c r="A61" s="49"/>
      <c r="B61" s="92"/>
      <c r="C61" s="91"/>
      <c r="D61" s="91"/>
      <c r="E61" s="91"/>
      <c r="F61" s="91"/>
      <c r="G61" s="91"/>
      <c r="H61" s="91"/>
      <c r="I61" s="91"/>
      <c r="J61" s="91"/>
      <c r="K61" s="93"/>
      <c r="L61" s="91"/>
      <c r="M61" s="92"/>
      <c r="N61" s="91"/>
      <c r="O61" s="91"/>
      <c r="P61" s="91"/>
      <c r="Q61" s="91"/>
      <c r="R61" s="91"/>
      <c r="S61" s="91"/>
      <c r="T61" s="91"/>
      <c r="U61" s="91"/>
      <c r="V61" s="93"/>
      <c r="W61" s="91"/>
      <c r="X61" s="92"/>
      <c r="Y61" s="91"/>
      <c r="Z61" s="91"/>
      <c r="AA61" s="91"/>
      <c r="AB61" s="91"/>
      <c r="AC61" s="91"/>
      <c r="AD61" s="91"/>
      <c r="AE61" s="91"/>
      <c r="AF61" s="91"/>
      <c r="AG61" s="93"/>
      <c r="AH61" s="91"/>
      <c r="AI61" s="92"/>
      <c r="AJ61" s="91"/>
      <c r="AK61" s="91"/>
      <c r="AL61" s="91"/>
      <c r="AM61" s="91"/>
      <c r="AN61" s="91"/>
      <c r="AO61" s="91"/>
      <c r="AP61" s="91"/>
      <c r="AQ61" s="91"/>
      <c r="AR61" s="93"/>
      <c r="AS61" s="91"/>
      <c r="AT61" s="92"/>
      <c r="AU61" s="91"/>
      <c r="AV61" s="91"/>
      <c r="AW61" s="91"/>
      <c r="AX61" s="91"/>
      <c r="AY61" s="91"/>
      <c r="AZ61" s="91"/>
      <c r="BA61" s="91"/>
      <c r="BB61" s="91"/>
      <c r="BC61" s="91"/>
      <c r="BD61" s="93"/>
      <c r="BE61" s="91"/>
      <c r="BF61" s="92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3"/>
      <c r="BR61" s="93"/>
    </row>
    <row r="62" spans="1:70" s="50" customFormat="1" ht="9" customHeight="1" x14ac:dyDescent="0.25">
      <c r="A62" s="49"/>
      <c r="B62" s="297" t="s">
        <v>317</v>
      </c>
      <c r="C62" s="291"/>
      <c r="D62" s="291"/>
      <c r="E62" s="291"/>
      <c r="F62" s="291"/>
      <c r="G62" s="291"/>
      <c r="H62" s="291"/>
      <c r="I62" s="291"/>
      <c r="J62" s="291"/>
      <c r="K62" s="293"/>
      <c r="L62" s="98"/>
      <c r="M62" s="297" t="s">
        <v>318</v>
      </c>
      <c r="N62" s="291"/>
      <c r="O62" s="291"/>
      <c r="P62" s="291"/>
      <c r="Q62" s="291"/>
      <c r="R62" s="291"/>
      <c r="S62" s="291"/>
      <c r="T62" s="291"/>
      <c r="U62" s="291"/>
      <c r="V62" s="293"/>
      <c r="W62" s="98"/>
      <c r="X62" s="297" t="s">
        <v>319</v>
      </c>
      <c r="Y62" s="291"/>
      <c r="Z62" s="291"/>
      <c r="AA62" s="291"/>
      <c r="AB62" s="291"/>
      <c r="AC62" s="291"/>
      <c r="AD62" s="291"/>
      <c r="AE62" s="291"/>
      <c r="AF62" s="291"/>
      <c r="AG62" s="293"/>
      <c r="AH62" s="98"/>
      <c r="AI62" s="297" t="s">
        <v>320</v>
      </c>
      <c r="AJ62" s="291"/>
      <c r="AK62" s="291"/>
      <c r="AL62" s="291"/>
      <c r="AM62" s="291"/>
      <c r="AN62" s="291"/>
      <c r="AO62" s="291"/>
      <c r="AP62" s="291"/>
      <c r="AQ62" s="291"/>
      <c r="AR62" s="293"/>
      <c r="AS62" s="98"/>
      <c r="AT62" s="297" t="s">
        <v>321</v>
      </c>
      <c r="AU62" s="291"/>
      <c r="AV62" s="291"/>
      <c r="AW62" s="291"/>
      <c r="AX62" s="291"/>
      <c r="AY62" s="291"/>
      <c r="AZ62" s="291"/>
      <c r="BA62" s="291"/>
      <c r="BB62" s="291"/>
      <c r="BC62" s="291"/>
      <c r="BD62" s="293"/>
      <c r="BE62" s="98"/>
      <c r="BF62" s="297" t="s">
        <v>322</v>
      </c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3"/>
      <c r="BR62" s="93"/>
    </row>
    <row r="63" spans="1:70" s="50" customFormat="1" ht="9" customHeight="1" x14ac:dyDescent="0.25">
      <c r="A63" s="49"/>
      <c r="B63" s="314" t="s">
        <v>342</v>
      </c>
      <c r="C63" s="315"/>
      <c r="D63" s="315"/>
      <c r="E63" s="315"/>
      <c r="F63" s="315"/>
      <c r="G63" s="315"/>
      <c r="H63" s="315"/>
      <c r="I63" s="315"/>
      <c r="J63" s="315"/>
      <c r="K63" s="316"/>
      <c r="L63" s="154"/>
      <c r="M63" s="314" t="s">
        <v>342</v>
      </c>
      <c r="N63" s="315"/>
      <c r="O63" s="315"/>
      <c r="P63" s="315"/>
      <c r="Q63" s="315"/>
      <c r="R63" s="315"/>
      <c r="S63" s="315"/>
      <c r="T63" s="315"/>
      <c r="U63" s="315"/>
      <c r="V63" s="316"/>
      <c r="W63" s="154"/>
      <c r="X63" s="314" t="s">
        <v>342</v>
      </c>
      <c r="Y63" s="315"/>
      <c r="Z63" s="315"/>
      <c r="AA63" s="315"/>
      <c r="AB63" s="315"/>
      <c r="AC63" s="315"/>
      <c r="AD63" s="315"/>
      <c r="AE63" s="315"/>
      <c r="AF63" s="315"/>
      <c r="AG63" s="316"/>
      <c r="AH63" s="154"/>
      <c r="AI63" s="314" t="s">
        <v>342</v>
      </c>
      <c r="AJ63" s="315"/>
      <c r="AK63" s="315"/>
      <c r="AL63" s="315"/>
      <c r="AM63" s="315"/>
      <c r="AN63" s="315"/>
      <c r="AO63" s="315"/>
      <c r="AP63" s="315"/>
      <c r="AQ63" s="315"/>
      <c r="AR63" s="316"/>
      <c r="AS63" s="154"/>
      <c r="AT63" s="314" t="s">
        <v>342</v>
      </c>
      <c r="AU63" s="315"/>
      <c r="AV63" s="315"/>
      <c r="AW63" s="315"/>
      <c r="AX63" s="315"/>
      <c r="AY63" s="315"/>
      <c r="AZ63" s="315"/>
      <c r="BA63" s="315"/>
      <c r="BB63" s="315"/>
      <c r="BC63" s="315"/>
      <c r="BD63" s="316"/>
      <c r="BE63" s="154"/>
      <c r="BF63" s="314" t="s">
        <v>342</v>
      </c>
      <c r="BG63" s="315"/>
      <c r="BH63" s="315"/>
      <c r="BI63" s="315"/>
      <c r="BJ63" s="315"/>
      <c r="BK63" s="315"/>
      <c r="BL63" s="315"/>
      <c r="BM63" s="315"/>
      <c r="BN63" s="315"/>
      <c r="BO63" s="315"/>
      <c r="BP63" s="315"/>
      <c r="BQ63" s="316"/>
      <c r="BR63" s="93"/>
    </row>
    <row r="64" spans="1:70" s="50" customFormat="1" ht="9" customHeight="1" x14ac:dyDescent="0.25">
      <c r="A64" s="49"/>
      <c r="B64" s="241" t="s">
        <v>323</v>
      </c>
      <c r="C64" s="241"/>
      <c r="D64" s="241"/>
      <c r="E64" s="241"/>
      <c r="F64" s="241"/>
      <c r="G64" s="241"/>
      <c r="H64" s="240">
        <f>CEILING(2963*B3,1)</f>
        <v>5630</v>
      </c>
      <c r="I64" s="240"/>
      <c r="J64" s="240"/>
      <c r="K64" s="240"/>
      <c r="L64" s="42"/>
      <c r="M64" s="241" t="s">
        <v>324</v>
      </c>
      <c r="N64" s="241"/>
      <c r="O64" s="241"/>
      <c r="P64" s="241"/>
      <c r="Q64" s="241"/>
      <c r="R64" s="241"/>
      <c r="S64" s="240">
        <f>CEILING(4554*B3,1)</f>
        <v>8653</v>
      </c>
      <c r="T64" s="240"/>
      <c r="U64" s="240"/>
      <c r="V64" s="240"/>
      <c r="W64" s="42"/>
      <c r="X64" s="241" t="s">
        <v>325</v>
      </c>
      <c r="Y64" s="241"/>
      <c r="Z64" s="241"/>
      <c r="AA64" s="241"/>
      <c r="AB64" s="241"/>
      <c r="AC64" s="241"/>
      <c r="AD64" s="240">
        <f>CEILING(6638*B3,1)</f>
        <v>12613</v>
      </c>
      <c r="AE64" s="240"/>
      <c r="AF64" s="240"/>
      <c r="AG64" s="240"/>
      <c r="AH64" s="2"/>
      <c r="AI64" s="241" t="s">
        <v>326</v>
      </c>
      <c r="AJ64" s="241"/>
      <c r="AK64" s="241"/>
      <c r="AL64" s="241"/>
      <c r="AM64" s="241"/>
      <c r="AN64" s="241"/>
      <c r="AO64" s="240">
        <f>CEILING(8780*B3,1)</f>
        <v>16682</v>
      </c>
      <c r="AP64" s="240"/>
      <c r="AQ64" s="240"/>
      <c r="AR64" s="240"/>
      <c r="AS64" s="2"/>
      <c r="AT64" s="241" t="s">
        <v>327</v>
      </c>
      <c r="AU64" s="241"/>
      <c r="AV64" s="241"/>
      <c r="AW64" s="241"/>
      <c r="AX64" s="241"/>
      <c r="AY64" s="241"/>
      <c r="AZ64" s="241"/>
      <c r="BA64" s="240">
        <f>CEILING(10792*B3,1)</f>
        <v>20505</v>
      </c>
      <c r="BB64" s="240"/>
      <c r="BC64" s="240"/>
      <c r="BD64" s="240"/>
      <c r="BE64" s="2"/>
      <c r="BF64" s="241" t="s">
        <v>328</v>
      </c>
      <c r="BG64" s="241"/>
      <c r="BH64" s="241"/>
      <c r="BI64" s="241"/>
      <c r="BJ64" s="241"/>
      <c r="BK64" s="241"/>
      <c r="BL64" s="241"/>
      <c r="BM64" s="241"/>
      <c r="BN64" s="240">
        <f>CEILING(12694*B3,1)</f>
        <v>24119</v>
      </c>
      <c r="BO64" s="240"/>
      <c r="BP64" s="240"/>
      <c r="BQ64" s="240"/>
      <c r="BR64" s="93"/>
    </row>
    <row r="65" spans="1:70" s="50" customFormat="1" ht="2.1" customHeight="1" x14ac:dyDescent="0.25">
      <c r="A65" s="49"/>
      <c r="B65" s="92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3"/>
      <c r="BR65" s="93"/>
    </row>
    <row r="66" spans="1:70" s="50" customFormat="1" ht="9" customHeight="1" x14ac:dyDescent="0.25">
      <c r="A66" s="49"/>
      <c r="B66" s="313" t="s">
        <v>349</v>
      </c>
      <c r="C66" s="313"/>
      <c r="D66" s="313"/>
      <c r="E66" s="99"/>
      <c r="F66" s="100"/>
      <c r="G66" s="100"/>
      <c r="H66" s="100"/>
      <c r="I66" s="100"/>
      <c r="J66" s="100"/>
      <c r="K66" s="101"/>
      <c r="L66" s="91"/>
      <c r="M66" s="294" t="s">
        <v>350</v>
      </c>
      <c r="N66" s="295"/>
      <c r="O66" s="296"/>
      <c r="P66" s="157"/>
      <c r="Q66" s="100"/>
      <c r="R66" s="100"/>
      <c r="S66" s="100"/>
      <c r="T66" s="100"/>
      <c r="U66" s="100"/>
      <c r="V66" s="101"/>
      <c r="W66" s="91"/>
      <c r="X66" s="294" t="s">
        <v>351</v>
      </c>
      <c r="Y66" s="295"/>
      <c r="Z66" s="296"/>
      <c r="AA66" s="157"/>
      <c r="AB66" s="100"/>
      <c r="AC66" s="100"/>
      <c r="AD66" s="100"/>
      <c r="AE66" s="100"/>
      <c r="AF66" s="100"/>
      <c r="AG66" s="101"/>
      <c r="AH66" s="91"/>
      <c r="AI66" s="294" t="s">
        <v>352</v>
      </c>
      <c r="AJ66" s="295"/>
      <c r="AK66" s="296"/>
      <c r="AL66" s="157"/>
      <c r="AM66" s="100"/>
      <c r="AN66" s="100"/>
      <c r="AO66" s="100"/>
      <c r="AP66" s="100"/>
      <c r="AQ66" s="100"/>
      <c r="AR66" s="101"/>
      <c r="AS66" s="91"/>
      <c r="AT66" s="294" t="s">
        <v>353</v>
      </c>
      <c r="AU66" s="295"/>
      <c r="AV66" s="296"/>
      <c r="AW66" s="157"/>
      <c r="AX66" s="100"/>
      <c r="AY66" s="100"/>
      <c r="AZ66" s="100"/>
      <c r="BA66" s="100"/>
      <c r="BB66" s="100"/>
      <c r="BC66" s="100"/>
      <c r="BD66" s="101"/>
      <c r="BE66" s="91"/>
      <c r="BF66" s="294" t="s">
        <v>354</v>
      </c>
      <c r="BG66" s="295"/>
      <c r="BH66" s="296"/>
      <c r="BI66" s="157"/>
      <c r="BJ66" s="100"/>
      <c r="BK66" s="100"/>
      <c r="BL66" s="100"/>
      <c r="BM66" s="100"/>
      <c r="BN66" s="100"/>
      <c r="BO66" s="100"/>
      <c r="BP66" s="100"/>
      <c r="BQ66" s="101"/>
      <c r="BR66" s="93"/>
    </row>
    <row r="67" spans="1:70" s="50" customFormat="1" ht="9" customHeight="1" x14ac:dyDescent="0.25">
      <c r="A67" s="49"/>
      <c r="B67" s="92"/>
      <c r="C67" s="91"/>
      <c r="D67" s="91"/>
      <c r="E67" s="91"/>
      <c r="F67" s="91"/>
      <c r="G67" s="91"/>
      <c r="H67" s="91"/>
      <c r="I67" s="91"/>
      <c r="J67" s="91"/>
      <c r="K67" s="93"/>
      <c r="L67" s="91"/>
      <c r="M67" s="92"/>
      <c r="N67" s="91"/>
      <c r="O67" s="91"/>
      <c r="P67" s="91"/>
      <c r="Q67" s="91"/>
      <c r="R67" s="91"/>
      <c r="S67" s="91"/>
      <c r="T67" s="91"/>
      <c r="U67" s="91"/>
      <c r="V67" s="93"/>
      <c r="W67" s="91"/>
      <c r="X67" s="92"/>
      <c r="Y67" s="91"/>
      <c r="Z67" s="91"/>
      <c r="AA67" s="91"/>
      <c r="AB67" s="91"/>
      <c r="AC67" s="91"/>
      <c r="AD67" s="91"/>
      <c r="AE67" s="91"/>
      <c r="AF67" s="91"/>
      <c r="AG67" s="93"/>
      <c r="AH67" s="91"/>
      <c r="AI67" s="92"/>
      <c r="AJ67" s="91"/>
      <c r="AK67" s="91"/>
      <c r="AL67" s="91"/>
      <c r="AM67" s="91"/>
      <c r="AN67" s="91"/>
      <c r="AO67" s="91"/>
      <c r="AP67" s="91"/>
      <c r="AQ67" s="91"/>
      <c r="AR67" s="93"/>
      <c r="AS67" s="91"/>
      <c r="AT67" s="92"/>
      <c r="AU67" s="91"/>
      <c r="AV67" s="91"/>
      <c r="AW67" s="91"/>
      <c r="AX67" s="91"/>
      <c r="AY67" s="91"/>
      <c r="AZ67" s="91"/>
      <c r="BA67" s="91"/>
      <c r="BB67" s="91"/>
      <c r="BC67" s="91"/>
      <c r="BD67" s="93"/>
      <c r="BE67" s="91"/>
      <c r="BF67" s="92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3"/>
      <c r="BR67" s="93"/>
    </row>
    <row r="68" spans="1:70" s="50" customFormat="1" ht="9" customHeight="1" x14ac:dyDescent="0.25">
      <c r="A68" s="49"/>
      <c r="B68" s="92"/>
      <c r="C68" s="91"/>
      <c r="D68" s="91"/>
      <c r="E68" s="91"/>
      <c r="F68" s="91"/>
      <c r="G68" s="91"/>
      <c r="H68" s="91"/>
      <c r="I68" s="91"/>
      <c r="J68" s="91"/>
      <c r="K68" s="93"/>
      <c r="L68" s="91"/>
      <c r="M68" s="92"/>
      <c r="N68" s="91"/>
      <c r="O68" s="91"/>
      <c r="P68" s="91"/>
      <c r="Q68" s="91"/>
      <c r="R68" s="91"/>
      <c r="S68" s="91"/>
      <c r="T68" s="91"/>
      <c r="U68" s="91"/>
      <c r="V68" s="93"/>
      <c r="W68" s="91"/>
      <c r="X68" s="92"/>
      <c r="Y68" s="91"/>
      <c r="Z68" s="91"/>
      <c r="AA68" s="91"/>
      <c r="AB68" s="91"/>
      <c r="AC68" s="91"/>
      <c r="AD68" s="91"/>
      <c r="AE68" s="91"/>
      <c r="AF68" s="91"/>
      <c r="AG68" s="93"/>
      <c r="AH68" s="91"/>
      <c r="AI68" s="92"/>
      <c r="AJ68" s="91"/>
      <c r="AK68" s="91"/>
      <c r="AL68" s="91"/>
      <c r="AM68" s="91"/>
      <c r="AN68" s="91"/>
      <c r="AO68" s="91"/>
      <c r="AP68" s="91"/>
      <c r="AQ68" s="91"/>
      <c r="AR68" s="93"/>
      <c r="AS68" s="91"/>
      <c r="AT68" s="92"/>
      <c r="AU68" s="91"/>
      <c r="AV68" s="91"/>
      <c r="AW68" s="91"/>
      <c r="AX68" s="91"/>
      <c r="AY68" s="91"/>
      <c r="AZ68" s="91"/>
      <c r="BA68" s="91"/>
      <c r="BB68" s="91"/>
      <c r="BC68" s="91"/>
      <c r="BD68" s="93"/>
      <c r="BE68" s="91"/>
      <c r="BF68" s="92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3"/>
      <c r="BR68" s="93"/>
    </row>
    <row r="69" spans="1:70" s="50" customFormat="1" ht="9" customHeight="1" x14ac:dyDescent="0.25">
      <c r="A69" s="49"/>
      <c r="B69" s="92"/>
      <c r="C69" s="91"/>
      <c r="D69" s="91"/>
      <c r="E69" s="91"/>
      <c r="F69" s="91"/>
      <c r="G69" s="91"/>
      <c r="H69" s="91"/>
      <c r="I69" s="91"/>
      <c r="J69" s="91"/>
      <c r="K69" s="93"/>
      <c r="L69" s="91"/>
      <c r="M69" s="92"/>
      <c r="N69" s="91"/>
      <c r="O69" s="91"/>
      <c r="P69" s="91"/>
      <c r="Q69" s="91"/>
      <c r="R69" s="91"/>
      <c r="S69" s="91"/>
      <c r="T69" s="91"/>
      <c r="U69" s="91"/>
      <c r="V69" s="93"/>
      <c r="W69" s="91"/>
      <c r="X69" s="92"/>
      <c r="Y69" s="91"/>
      <c r="Z69" s="91"/>
      <c r="AA69" s="91"/>
      <c r="AB69" s="91"/>
      <c r="AC69" s="91"/>
      <c r="AD69" s="91"/>
      <c r="AE69" s="91"/>
      <c r="AF69" s="91"/>
      <c r="AG69" s="93"/>
      <c r="AH69" s="91"/>
      <c r="AI69" s="92"/>
      <c r="AJ69" s="91"/>
      <c r="AK69" s="91"/>
      <c r="AL69" s="91"/>
      <c r="AM69" s="91"/>
      <c r="AN69" s="91"/>
      <c r="AO69" s="91"/>
      <c r="AP69" s="91"/>
      <c r="AQ69" s="91"/>
      <c r="AR69" s="93"/>
      <c r="AS69" s="91"/>
      <c r="AT69" s="92"/>
      <c r="AU69" s="91"/>
      <c r="AV69" s="91"/>
      <c r="AW69" s="91"/>
      <c r="AX69" s="91"/>
      <c r="AY69" s="91"/>
      <c r="AZ69" s="91"/>
      <c r="BA69" s="91"/>
      <c r="BB69" s="91"/>
      <c r="BC69" s="91"/>
      <c r="BD69" s="93"/>
      <c r="BE69" s="91"/>
      <c r="BF69" s="92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3"/>
      <c r="BR69" s="93"/>
    </row>
    <row r="70" spans="1:70" s="50" customFormat="1" ht="9" customHeight="1" x14ac:dyDescent="0.25">
      <c r="A70" s="49"/>
      <c r="B70" s="92"/>
      <c r="C70" s="91"/>
      <c r="D70" s="91"/>
      <c r="E70" s="91"/>
      <c r="F70" s="91"/>
      <c r="G70" s="91"/>
      <c r="H70" s="91"/>
      <c r="I70" s="91"/>
      <c r="J70" s="91"/>
      <c r="K70" s="93"/>
      <c r="L70" s="91"/>
      <c r="M70" s="92"/>
      <c r="N70" s="91"/>
      <c r="O70" s="91"/>
      <c r="P70" s="91"/>
      <c r="Q70" s="91"/>
      <c r="R70" s="91"/>
      <c r="S70" s="91"/>
      <c r="T70" s="91"/>
      <c r="U70" s="91"/>
      <c r="V70" s="93"/>
      <c r="W70" s="91"/>
      <c r="X70" s="92"/>
      <c r="Y70" s="91"/>
      <c r="Z70" s="91"/>
      <c r="AA70" s="91"/>
      <c r="AB70" s="91"/>
      <c r="AC70" s="91"/>
      <c r="AD70" s="91"/>
      <c r="AE70" s="91"/>
      <c r="AF70" s="91"/>
      <c r="AG70" s="93"/>
      <c r="AH70" s="91"/>
      <c r="AI70" s="92"/>
      <c r="AJ70" s="91"/>
      <c r="AK70" s="91"/>
      <c r="AL70" s="91"/>
      <c r="AM70" s="91"/>
      <c r="AN70" s="91"/>
      <c r="AO70" s="91"/>
      <c r="AP70" s="91"/>
      <c r="AQ70" s="91"/>
      <c r="AR70" s="93"/>
      <c r="AS70" s="91"/>
      <c r="AT70" s="92"/>
      <c r="AU70" s="91"/>
      <c r="AV70" s="91"/>
      <c r="AW70" s="91"/>
      <c r="AX70" s="91"/>
      <c r="AY70" s="91"/>
      <c r="AZ70" s="91"/>
      <c r="BA70" s="91"/>
      <c r="BB70" s="91"/>
      <c r="BC70" s="91"/>
      <c r="BD70" s="93"/>
      <c r="BE70" s="91"/>
      <c r="BF70" s="92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3"/>
      <c r="BR70" s="93"/>
    </row>
    <row r="71" spans="1:70" s="50" customFormat="1" ht="9" customHeight="1" x14ac:dyDescent="0.25">
      <c r="A71" s="49"/>
      <c r="B71" s="158"/>
      <c r="C71" s="159"/>
      <c r="D71" s="159"/>
      <c r="E71" s="91"/>
      <c r="F71" s="91"/>
      <c r="G71" s="91"/>
      <c r="H71" s="91"/>
      <c r="I71" s="91"/>
      <c r="J71" s="91"/>
      <c r="K71" s="93"/>
      <c r="L71" s="91"/>
      <c r="M71" s="92"/>
      <c r="N71" s="91"/>
      <c r="O71" s="91"/>
      <c r="P71" s="91"/>
      <c r="Q71" s="91"/>
      <c r="R71" s="91"/>
      <c r="S71" s="91"/>
      <c r="T71" s="91"/>
      <c r="U71" s="91"/>
      <c r="V71" s="93"/>
      <c r="W71" s="91"/>
      <c r="X71" s="92"/>
      <c r="Y71" s="91"/>
      <c r="Z71" s="91"/>
      <c r="AA71" s="91"/>
      <c r="AB71" s="91"/>
      <c r="AC71" s="91"/>
      <c r="AD71" s="91"/>
      <c r="AE71" s="91"/>
      <c r="AF71" s="91"/>
      <c r="AG71" s="93"/>
      <c r="AH71" s="91"/>
      <c r="AI71" s="92"/>
      <c r="AJ71" s="91"/>
      <c r="AK71" s="91"/>
      <c r="AL71" s="91"/>
      <c r="AM71" s="91"/>
      <c r="AN71" s="91"/>
      <c r="AO71" s="91"/>
      <c r="AP71" s="91"/>
      <c r="AQ71" s="91"/>
      <c r="AR71" s="93"/>
      <c r="AS71" s="91"/>
      <c r="AT71" s="92"/>
      <c r="AU71" s="91"/>
      <c r="AV71" s="91"/>
      <c r="AW71" s="91"/>
      <c r="AX71" s="91"/>
      <c r="AY71" s="91"/>
      <c r="AZ71" s="91"/>
      <c r="BA71" s="91"/>
      <c r="BB71" s="91"/>
      <c r="BC71" s="91"/>
      <c r="BD71" s="93"/>
      <c r="BE71" s="91"/>
      <c r="BF71" s="92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3"/>
      <c r="BR71" s="93"/>
    </row>
    <row r="72" spans="1:70" s="50" customFormat="1" ht="9" customHeight="1" x14ac:dyDescent="0.25">
      <c r="A72" s="49"/>
      <c r="B72" s="310" t="s">
        <v>355</v>
      </c>
      <c r="C72" s="311"/>
      <c r="D72" s="312"/>
      <c r="E72" s="92"/>
      <c r="F72" s="91"/>
      <c r="G72" s="91"/>
      <c r="H72" s="91"/>
      <c r="I72" s="91"/>
      <c r="J72" s="91"/>
      <c r="K72" s="93"/>
      <c r="L72" s="91"/>
      <c r="M72" s="92"/>
      <c r="N72" s="91"/>
      <c r="O72" s="91"/>
      <c r="P72" s="91"/>
      <c r="Q72" s="91"/>
      <c r="R72" s="91"/>
      <c r="S72" s="91"/>
      <c r="T72" s="91"/>
      <c r="U72" s="91"/>
      <c r="V72" s="93"/>
      <c r="W72" s="91"/>
      <c r="X72" s="92"/>
      <c r="Y72" s="91"/>
      <c r="Z72" s="91"/>
      <c r="AA72" s="91"/>
      <c r="AB72" s="91"/>
      <c r="AC72" s="91"/>
      <c r="AD72" s="91"/>
      <c r="AE72" s="91"/>
      <c r="AF72" s="91"/>
      <c r="AG72" s="93"/>
      <c r="AH72" s="91"/>
      <c r="AI72" s="92"/>
      <c r="AJ72" s="91"/>
      <c r="AK72" s="91"/>
      <c r="AL72" s="91"/>
      <c r="AM72" s="91"/>
      <c r="AN72" s="91"/>
      <c r="AO72" s="91"/>
      <c r="AP72" s="91"/>
      <c r="AQ72" s="91"/>
      <c r="AR72" s="93"/>
      <c r="AS72" s="91"/>
      <c r="AT72" s="92"/>
      <c r="AU72" s="91"/>
      <c r="AV72" s="91"/>
      <c r="AW72" s="91"/>
      <c r="AX72" s="91"/>
      <c r="AY72" s="91"/>
      <c r="AZ72" s="91"/>
      <c r="BA72" s="91"/>
      <c r="BB72" s="91"/>
      <c r="BC72" s="91"/>
      <c r="BD72" s="93"/>
      <c r="BE72" s="91"/>
      <c r="BF72" s="92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3"/>
      <c r="BR72" s="93"/>
    </row>
    <row r="73" spans="1:70" s="50" customFormat="1" ht="9" customHeight="1" x14ac:dyDescent="0.25">
      <c r="A73" s="49"/>
      <c r="B73" s="92"/>
      <c r="C73" s="91"/>
      <c r="D73" s="91"/>
      <c r="E73" s="91"/>
      <c r="F73" s="91"/>
      <c r="G73" s="91"/>
      <c r="H73" s="91"/>
      <c r="I73" s="91"/>
      <c r="J73" s="91"/>
      <c r="K73" s="93"/>
      <c r="L73" s="91"/>
      <c r="M73" s="92"/>
      <c r="N73" s="91"/>
      <c r="O73" s="91"/>
      <c r="P73" s="91"/>
      <c r="Q73" s="91"/>
      <c r="R73" s="91"/>
      <c r="S73" s="91"/>
      <c r="T73" s="91"/>
      <c r="U73" s="91"/>
      <c r="V73" s="93"/>
      <c r="W73" s="91"/>
      <c r="X73" s="92"/>
      <c r="Y73" s="91"/>
      <c r="Z73" s="91"/>
      <c r="AA73" s="91"/>
      <c r="AB73" s="91"/>
      <c r="AC73" s="91"/>
      <c r="AD73" s="91"/>
      <c r="AE73" s="91"/>
      <c r="AF73" s="91"/>
      <c r="AG73" s="93"/>
      <c r="AH73" s="91"/>
      <c r="AI73" s="92"/>
      <c r="AJ73" s="91"/>
      <c r="AK73" s="91"/>
      <c r="AL73" s="91"/>
      <c r="AM73" s="91"/>
      <c r="AN73" s="91"/>
      <c r="AO73" s="91"/>
      <c r="AP73" s="91"/>
      <c r="AQ73" s="91"/>
      <c r="AR73" s="93"/>
      <c r="AS73" s="91"/>
      <c r="AT73" s="92"/>
      <c r="AU73" s="91"/>
      <c r="AV73" s="91"/>
      <c r="AW73" s="91"/>
      <c r="AX73" s="91"/>
      <c r="AY73" s="91"/>
      <c r="AZ73" s="91"/>
      <c r="BA73" s="91"/>
      <c r="BB73" s="91"/>
      <c r="BC73" s="91"/>
      <c r="BD73" s="93"/>
      <c r="BE73" s="91"/>
      <c r="BF73" s="92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3"/>
      <c r="BR73" s="93"/>
    </row>
    <row r="74" spans="1:70" s="50" customFormat="1" ht="9" customHeight="1" x14ac:dyDescent="0.25">
      <c r="A74" s="49"/>
      <c r="B74" s="92"/>
      <c r="C74" s="91"/>
      <c r="D74" s="91"/>
      <c r="E74" s="91"/>
      <c r="F74" s="91"/>
      <c r="G74" s="91"/>
      <c r="H74" s="91"/>
      <c r="I74" s="91"/>
      <c r="J74" s="91"/>
      <c r="K74" s="93"/>
      <c r="L74" s="91"/>
      <c r="M74" s="92"/>
      <c r="N74" s="91"/>
      <c r="O74" s="91"/>
      <c r="P74" s="91"/>
      <c r="Q74" s="91"/>
      <c r="R74" s="91"/>
      <c r="S74" s="91"/>
      <c r="T74" s="91"/>
      <c r="U74" s="91"/>
      <c r="V74" s="93"/>
      <c r="W74" s="91"/>
      <c r="X74" s="92"/>
      <c r="Y74" s="91"/>
      <c r="Z74" s="91"/>
      <c r="AA74" s="91"/>
      <c r="AB74" s="91"/>
      <c r="AC74" s="91"/>
      <c r="AD74" s="91"/>
      <c r="AE74" s="91"/>
      <c r="AF74" s="91"/>
      <c r="AG74" s="93"/>
      <c r="AH74" s="91"/>
      <c r="AI74" s="92"/>
      <c r="AJ74" s="91"/>
      <c r="AK74" s="91"/>
      <c r="AL74" s="91"/>
      <c r="AM74" s="91"/>
      <c r="AN74" s="91"/>
      <c r="AO74" s="91"/>
      <c r="AP74" s="91"/>
      <c r="AQ74" s="91"/>
      <c r="AR74" s="93"/>
      <c r="AS74" s="91"/>
      <c r="AT74" s="92"/>
      <c r="AU74" s="91"/>
      <c r="AV74" s="91"/>
      <c r="AW74" s="91"/>
      <c r="AX74" s="91"/>
      <c r="AY74" s="91"/>
      <c r="AZ74" s="91"/>
      <c r="BA74" s="91"/>
      <c r="BB74" s="91"/>
      <c r="BC74" s="91"/>
      <c r="BD74" s="93"/>
      <c r="BE74" s="91"/>
      <c r="BF74" s="92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3"/>
      <c r="BR74" s="93"/>
    </row>
    <row r="75" spans="1:70" s="50" customFormat="1" ht="9" customHeight="1" x14ac:dyDescent="0.25">
      <c r="A75" s="49"/>
      <c r="B75" s="92"/>
      <c r="C75" s="91"/>
      <c r="D75" s="91"/>
      <c r="E75" s="91"/>
      <c r="F75" s="91"/>
      <c r="G75" s="91"/>
      <c r="H75" s="91"/>
      <c r="I75" s="91"/>
      <c r="J75" s="91"/>
      <c r="K75" s="93"/>
      <c r="L75" s="91"/>
      <c r="M75" s="92"/>
      <c r="N75" s="91"/>
      <c r="O75" s="91"/>
      <c r="P75" s="91"/>
      <c r="Q75" s="91"/>
      <c r="R75" s="91"/>
      <c r="S75" s="91"/>
      <c r="T75" s="91"/>
      <c r="U75" s="91"/>
      <c r="V75" s="93"/>
      <c r="W75" s="91"/>
      <c r="X75" s="92"/>
      <c r="Y75" s="91"/>
      <c r="Z75" s="91"/>
      <c r="AA75" s="91"/>
      <c r="AB75" s="91"/>
      <c r="AC75" s="91"/>
      <c r="AD75" s="91"/>
      <c r="AE75" s="91"/>
      <c r="AF75" s="91"/>
      <c r="AG75" s="93"/>
      <c r="AH75" s="91"/>
      <c r="AI75" s="92"/>
      <c r="AJ75" s="91"/>
      <c r="AK75" s="91"/>
      <c r="AL75" s="91"/>
      <c r="AM75" s="91"/>
      <c r="AN75" s="91"/>
      <c r="AO75" s="91"/>
      <c r="AP75" s="91"/>
      <c r="AQ75" s="91"/>
      <c r="AR75" s="93"/>
      <c r="AS75" s="91"/>
      <c r="AT75" s="92"/>
      <c r="AU75" s="91"/>
      <c r="AV75" s="91"/>
      <c r="AW75" s="91"/>
      <c r="AX75" s="91"/>
      <c r="AY75" s="91"/>
      <c r="AZ75" s="91"/>
      <c r="BA75" s="91"/>
      <c r="BB75" s="91"/>
      <c r="BC75" s="91"/>
      <c r="BD75" s="93"/>
      <c r="BE75" s="91"/>
      <c r="BF75" s="92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3"/>
      <c r="BR75" s="93"/>
    </row>
    <row r="76" spans="1:70" s="50" customFormat="1" ht="9" customHeight="1" x14ac:dyDescent="0.25">
      <c r="A76" s="49"/>
      <c r="B76" s="92"/>
      <c r="C76" s="91"/>
      <c r="D76" s="91"/>
      <c r="E76" s="91"/>
      <c r="F76" s="91"/>
      <c r="G76" s="91"/>
      <c r="H76" s="91"/>
      <c r="I76" s="91"/>
      <c r="J76" s="91"/>
      <c r="K76" s="93"/>
      <c r="L76" s="91"/>
      <c r="M76" s="92"/>
      <c r="N76" s="91"/>
      <c r="O76" s="91"/>
      <c r="P76" s="91"/>
      <c r="Q76" s="91"/>
      <c r="R76" s="91"/>
      <c r="S76" s="91"/>
      <c r="T76" s="91"/>
      <c r="U76" s="91"/>
      <c r="V76" s="93"/>
      <c r="W76" s="91"/>
      <c r="X76" s="297" t="s">
        <v>356</v>
      </c>
      <c r="Y76" s="291"/>
      <c r="Z76" s="291"/>
      <c r="AA76" s="291"/>
      <c r="AB76" s="291"/>
      <c r="AC76" s="291"/>
      <c r="AD76" s="291"/>
      <c r="AE76" s="291"/>
      <c r="AF76" s="291"/>
      <c r="AG76" s="293"/>
      <c r="AH76" s="91"/>
      <c r="AI76" s="92"/>
      <c r="AJ76" s="91"/>
      <c r="AK76" s="91"/>
      <c r="AL76" s="91"/>
      <c r="AM76" s="91"/>
      <c r="AN76" s="91"/>
      <c r="AO76" s="91"/>
      <c r="AP76" s="91"/>
      <c r="AQ76" s="91"/>
      <c r="AR76" s="93"/>
      <c r="AS76" s="91"/>
      <c r="AT76" s="92"/>
      <c r="AU76" s="91"/>
      <c r="AV76" s="91"/>
      <c r="AW76" s="91"/>
      <c r="AX76" s="91"/>
      <c r="AY76" s="91"/>
      <c r="AZ76" s="91"/>
      <c r="BA76" s="91"/>
      <c r="BB76" s="91"/>
      <c r="BC76" s="91"/>
      <c r="BD76" s="93"/>
      <c r="BE76" s="91"/>
      <c r="BF76" s="92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3"/>
      <c r="BR76" s="93"/>
    </row>
    <row r="77" spans="1:70" s="50" customFormat="1" ht="9" customHeight="1" x14ac:dyDescent="0.25">
      <c r="A77" s="49"/>
      <c r="B77" s="297" t="s">
        <v>356</v>
      </c>
      <c r="C77" s="291"/>
      <c r="D77" s="291"/>
      <c r="E77" s="291"/>
      <c r="F77" s="291"/>
      <c r="G77" s="291"/>
      <c r="H77" s="291"/>
      <c r="I77" s="291"/>
      <c r="J77" s="291"/>
      <c r="K77" s="293"/>
      <c r="L77" s="91"/>
      <c r="M77" s="297" t="s">
        <v>356</v>
      </c>
      <c r="N77" s="291"/>
      <c r="O77" s="291"/>
      <c r="P77" s="291"/>
      <c r="Q77" s="291"/>
      <c r="R77" s="291"/>
      <c r="S77" s="291"/>
      <c r="T77" s="291"/>
      <c r="U77" s="291"/>
      <c r="V77" s="293"/>
      <c r="W77" s="91"/>
      <c r="X77" s="241" t="s">
        <v>357</v>
      </c>
      <c r="Y77" s="241"/>
      <c r="Z77" s="241"/>
      <c r="AA77" s="241"/>
      <c r="AB77" s="241"/>
      <c r="AC77" s="241"/>
      <c r="AD77" s="240">
        <f>CEILING(1495*B3,1)</f>
        <v>2841</v>
      </c>
      <c r="AE77" s="240"/>
      <c r="AF77" s="240"/>
      <c r="AG77" s="240"/>
      <c r="AH77" s="91"/>
      <c r="AI77" s="297" t="s">
        <v>358</v>
      </c>
      <c r="AJ77" s="291"/>
      <c r="AK77" s="291"/>
      <c r="AL77" s="291"/>
      <c r="AM77" s="291"/>
      <c r="AN77" s="291"/>
      <c r="AO77" s="291"/>
      <c r="AP77" s="291"/>
      <c r="AQ77" s="291"/>
      <c r="AR77" s="293"/>
      <c r="AS77" s="91"/>
      <c r="AT77" s="297" t="s">
        <v>358</v>
      </c>
      <c r="AU77" s="291"/>
      <c r="AV77" s="291"/>
      <c r="AW77" s="291"/>
      <c r="AX77" s="291"/>
      <c r="AY77" s="291"/>
      <c r="AZ77" s="291"/>
      <c r="BA77" s="291"/>
      <c r="BB77" s="291"/>
      <c r="BC77" s="291"/>
      <c r="BD77" s="293"/>
      <c r="BE77" s="91"/>
      <c r="BF77" s="297" t="s">
        <v>359</v>
      </c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3"/>
      <c r="BR77" s="93"/>
    </row>
    <row r="78" spans="1:70" s="50" customFormat="1" ht="9" customHeight="1" x14ac:dyDescent="0.25">
      <c r="A78" s="49"/>
      <c r="B78" s="241" t="s">
        <v>360</v>
      </c>
      <c r="C78" s="241"/>
      <c r="D78" s="241"/>
      <c r="E78" s="241"/>
      <c r="F78" s="241"/>
      <c r="G78" s="241"/>
      <c r="H78" s="307" t="s">
        <v>361</v>
      </c>
      <c r="I78" s="308"/>
      <c r="J78" s="308"/>
      <c r="K78" s="309"/>
      <c r="L78" s="2"/>
      <c r="M78" s="241" t="s">
        <v>362</v>
      </c>
      <c r="N78" s="241"/>
      <c r="O78" s="241"/>
      <c r="P78" s="241"/>
      <c r="Q78" s="241"/>
      <c r="R78" s="241"/>
      <c r="S78" s="240">
        <f>CEILING(2240*B3,1)</f>
        <v>4256</v>
      </c>
      <c r="T78" s="240"/>
      <c r="U78" s="240"/>
      <c r="V78" s="240"/>
      <c r="W78" s="2"/>
      <c r="X78" s="241" t="s">
        <v>363</v>
      </c>
      <c r="Y78" s="241"/>
      <c r="Z78" s="241"/>
      <c r="AA78" s="241"/>
      <c r="AB78" s="241"/>
      <c r="AC78" s="241"/>
      <c r="AD78" s="240">
        <f>CEILING(2673*B3,1)</f>
        <v>5079</v>
      </c>
      <c r="AE78" s="240"/>
      <c r="AF78" s="240"/>
      <c r="AG78" s="240"/>
      <c r="AH78" s="2"/>
      <c r="AI78" s="241" t="s">
        <v>364</v>
      </c>
      <c r="AJ78" s="241"/>
      <c r="AK78" s="241"/>
      <c r="AL78" s="241"/>
      <c r="AM78" s="241"/>
      <c r="AN78" s="241"/>
      <c r="AO78" s="240">
        <f>CEILING(4989*B3,1)</f>
        <v>9480</v>
      </c>
      <c r="AP78" s="240"/>
      <c r="AQ78" s="240"/>
      <c r="AR78" s="240"/>
      <c r="AS78" s="2"/>
      <c r="AT78" s="241" t="s">
        <v>364</v>
      </c>
      <c r="AU78" s="241"/>
      <c r="AV78" s="241"/>
      <c r="AW78" s="241"/>
      <c r="AX78" s="241"/>
      <c r="AY78" s="241"/>
      <c r="AZ78" s="241"/>
      <c r="BA78" s="241"/>
      <c r="BB78" s="240">
        <f>CEILING(6222*B3,1)</f>
        <v>11822</v>
      </c>
      <c r="BC78" s="240"/>
      <c r="BD78" s="240"/>
      <c r="BE78" s="2"/>
      <c r="BF78" s="241" t="s">
        <v>365</v>
      </c>
      <c r="BG78" s="241"/>
      <c r="BH78" s="241"/>
      <c r="BI78" s="241"/>
      <c r="BJ78" s="241"/>
      <c r="BK78" s="241"/>
      <c r="BL78" s="241"/>
      <c r="BM78" s="241"/>
      <c r="BN78" s="240">
        <f>CEILING(5421*B3,1)</f>
        <v>10300</v>
      </c>
      <c r="BO78" s="240"/>
      <c r="BP78" s="240"/>
      <c r="BQ78" s="240"/>
      <c r="BR78" s="93"/>
    </row>
    <row r="79" spans="1:70" s="50" customFormat="1" ht="2.1" customHeight="1" x14ac:dyDescent="0.25">
      <c r="A79" s="49"/>
      <c r="B79" s="92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103"/>
      <c r="AN79" s="103"/>
      <c r="AO79" s="103"/>
      <c r="AP79" s="103"/>
      <c r="AQ79" s="103"/>
      <c r="AR79" s="103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103"/>
      <c r="BK79" s="103"/>
      <c r="BL79" s="103"/>
      <c r="BM79" s="103"/>
      <c r="BN79" s="103"/>
      <c r="BO79" s="103"/>
      <c r="BP79" s="103"/>
      <c r="BQ79" s="160"/>
      <c r="BR79" s="93"/>
    </row>
    <row r="80" spans="1:70" s="50" customFormat="1" ht="9" customHeight="1" x14ac:dyDescent="0.25">
      <c r="A80" s="49"/>
      <c r="B80" s="303" t="s">
        <v>366</v>
      </c>
      <c r="C80" s="295"/>
      <c r="D80" s="296"/>
      <c r="E80" s="157"/>
      <c r="F80" s="100"/>
      <c r="G80" s="100"/>
      <c r="H80" s="100"/>
      <c r="I80" s="100"/>
      <c r="J80" s="100"/>
      <c r="K80" s="101"/>
      <c r="L80" s="91"/>
      <c r="M80" s="304" t="s">
        <v>367</v>
      </c>
      <c r="N80" s="305"/>
      <c r="O80" s="306"/>
      <c r="P80" s="157"/>
      <c r="Q80" s="100"/>
      <c r="R80" s="100"/>
      <c r="S80" s="100"/>
      <c r="T80" s="100"/>
      <c r="U80" s="100"/>
      <c r="V80" s="101"/>
      <c r="W80" s="91"/>
      <c r="X80" s="294" t="s">
        <v>368</v>
      </c>
      <c r="Y80" s="295"/>
      <c r="Z80" s="296"/>
      <c r="AA80" s="157"/>
      <c r="AB80" s="100"/>
      <c r="AC80" s="100"/>
      <c r="AD80" s="100"/>
      <c r="AE80" s="100"/>
      <c r="AF80" s="100"/>
      <c r="AG80" s="101"/>
      <c r="AH80" s="91"/>
      <c r="AI80" s="294" t="s">
        <v>369</v>
      </c>
      <c r="AJ80" s="295"/>
      <c r="AK80" s="295"/>
      <c r="AL80" s="295"/>
      <c r="AM80" s="295"/>
      <c r="AN80" s="296"/>
      <c r="AO80" s="161"/>
      <c r="AP80" s="155"/>
      <c r="AQ80" s="155"/>
      <c r="AR80" s="156"/>
      <c r="AS80" s="91"/>
      <c r="AT80" s="294" t="s">
        <v>370</v>
      </c>
      <c r="AU80" s="295"/>
      <c r="AV80" s="295"/>
      <c r="AW80" s="295"/>
      <c r="AX80" s="295"/>
      <c r="AY80" s="296"/>
      <c r="AZ80" s="161"/>
      <c r="BA80" s="155"/>
      <c r="BB80" s="155"/>
      <c r="BC80" s="155"/>
      <c r="BD80" s="156"/>
      <c r="BE80" s="91"/>
      <c r="BF80" s="294" t="s">
        <v>371</v>
      </c>
      <c r="BG80" s="295"/>
      <c r="BH80" s="295"/>
      <c r="BI80" s="295"/>
      <c r="BJ80" s="295"/>
      <c r="BK80" s="296"/>
      <c r="BL80" s="161"/>
      <c r="BM80" s="155"/>
      <c r="BN80" s="155"/>
      <c r="BO80" s="155"/>
      <c r="BP80" s="155"/>
      <c r="BQ80" s="156"/>
      <c r="BR80" s="93"/>
    </row>
    <row r="81" spans="1:70" s="50" customFormat="1" ht="9" customHeight="1" x14ac:dyDescent="0.25">
      <c r="A81" s="49"/>
      <c r="B81" s="92"/>
      <c r="C81" s="91"/>
      <c r="D81" s="91"/>
      <c r="E81" s="91"/>
      <c r="F81" s="91"/>
      <c r="G81" s="91"/>
      <c r="H81" s="91"/>
      <c r="I81" s="91"/>
      <c r="J81" s="91"/>
      <c r="K81" s="93"/>
      <c r="L81" s="91"/>
      <c r="M81" s="92"/>
      <c r="N81" s="91"/>
      <c r="O81" s="91"/>
      <c r="P81" s="91"/>
      <c r="Q81" s="91"/>
      <c r="R81" s="91"/>
      <c r="S81" s="91"/>
      <c r="T81" s="91"/>
      <c r="U81" s="91"/>
      <c r="V81" s="93"/>
      <c r="W81" s="91"/>
      <c r="X81" s="92"/>
      <c r="Y81" s="91"/>
      <c r="Z81" s="91"/>
      <c r="AA81" s="91"/>
      <c r="AB81" s="91"/>
      <c r="AC81" s="91"/>
      <c r="AD81" s="91"/>
      <c r="AE81" s="91"/>
      <c r="AF81" s="91"/>
      <c r="AG81" s="93"/>
      <c r="AH81" s="91"/>
      <c r="AI81" s="92"/>
      <c r="AJ81" s="91"/>
      <c r="AK81" s="91"/>
      <c r="AL81" s="91"/>
      <c r="AM81" s="91"/>
      <c r="AN81" s="91"/>
      <c r="AO81" s="91"/>
      <c r="AP81" s="91"/>
      <c r="AQ81" s="91"/>
      <c r="AR81" s="93"/>
      <c r="AS81" s="91"/>
      <c r="AT81" s="92"/>
      <c r="AU81" s="91"/>
      <c r="AV81" s="91"/>
      <c r="AW81" s="91"/>
      <c r="AX81" s="91"/>
      <c r="AY81" s="91"/>
      <c r="AZ81" s="91"/>
      <c r="BA81" s="91"/>
      <c r="BB81" s="91"/>
      <c r="BC81" s="91"/>
      <c r="BD81" s="93"/>
      <c r="BE81" s="91"/>
      <c r="BF81" s="92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3"/>
      <c r="BR81" s="93"/>
    </row>
    <row r="82" spans="1:70" s="50" customFormat="1" ht="9" customHeight="1" x14ac:dyDescent="0.25">
      <c r="A82" s="49"/>
      <c r="B82" s="92"/>
      <c r="C82" s="91"/>
      <c r="D82" s="91"/>
      <c r="E82" s="91"/>
      <c r="F82" s="91"/>
      <c r="G82" s="91"/>
      <c r="H82" s="91"/>
      <c r="I82" s="91"/>
      <c r="J82" s="91"/>
      <c r="K82" s="93"/>
      <c r="L82" s="91"/>
      <c r="M82" s="92"/>
      <c r="N82" s="91"/>
      <c r="O82" s="91"/>
      <c r="P82" s="91"/>
      <c r="Q82" s="91"/>
      <c r="R82" s="91"/>
      <c r="S82" s="91"/>
      <c r="T82" s="91"/>
      <c r="U82" s="91"/>
      <c r="V82" s="93"/>
      <c r="W82" s="91"/>
      <c r="X82" s="92"/>
      <c r="Y82" s="91"/>
      <c r="Z82" s="91"/>
      <c r="AA82" s="91"/>
      <c r="AB82" s="91"/>
      <c r="AC82" s="91"/>
      <c r="AD82" s="91"/>
      <c r="AE82" s="91"/>
      <c r="AF82" s="91"/>
      <c r="AG82" s="93"/>
      <c r="AH82" s="91"/>
      <c r="AI82" s="88"/>
      <c r="AJ82" s="89"/>
      <c r="AK82" s="89"/>
      <c r="AL82" s="89"/>
      <c r="AM82" s="89"/>
      <c r="AN82" s="89"/>
      <c r="AO82" s="89"/>
      <c r="AP82" s="89"/>
      <c r="AQ82" s="89"/>
      <c r="AR82" s="90"/>
      <c r="AS82" s="91"/>
      <c r="AT82" s="88"/>
      <c r="AU82" s="89"/>
      <c r="AV82" s="89"/>
      <c r="AW82" s="89"/>
      <c r="AX82" s="89"/>
      <c r="AY82" s="89"/>
      <c r="AZ82" s="89"/>
      <c r="BA82" s="89"/>
      <c r="BB82" s="89"/>
      <c r="BC82" s="89"/>
      <c r="BD82" s="90"/>
      <c r="BE82" s="91"/>
      <c r="BF82" s="88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90"/>
      <c r="BR82" s="93"/>
    </row>
    <row r="83" spans="1:70" s="50" customFormat="1" ht="9" customHeight="1" x14ac:dyDescent="0.25">
      <c r="A83" s="49"/>
      <c r="B83" s="92"/>
      <c r="C83" s="91"/>
      <c r="D83" s="91"/>
      <c r="E83" s="91"/>
      <c r="F83" s="91"/>
      <c r="G83" s="91"/>
      <c r="H83" s="91"/>
      <c r="I83" s="91"/>
      <c r="J83" s="91"/>
      <c r="K83" s="93"/>
      <c r="L83" s="91"/>
      <c r="M83" s="92"/>
      <c r="N83" s="91"/>
      <c r="O83" s="91"/>
      <c r="P83" s="91"/>
      <c r="Q83" s="91"/>
      <c r="R83" s="91"/>
      <c r="S83" s="91"/>
      <c r="T83" s="91"/>
      <c r="U83" s="91"/>
      <c r="V83" s="93"/>
      <c r="W83" s="91"/>
      <c r="X83" s="92"/>
      <c r="Y83" s="91"/>
      <c r="Z83" s="91"/>
      <c r="AA83" s="91"/>
      <c r="AB83" s="91"/>
      <c r="AC83" s="91"/>
      <c r="AD83" s="91"/>
      <c r="AE83" s="91"/>
      <c r="AF83" s="91"/>
      <c r="AG83" s="93"/>
      <c r="AH83" s="91"/>
      <c r="AI83" s="88"/>
      <c r="AJ83" s="89"/>
      <c r="AK83" s="89"/>
      <c r="AL83" s="89"/>
      <c r="AM83" s="89"/>
      <c r="AN83" s="89"/>
      <c r="AO83" s="89"/>
      <c r="AP83" s="89"/>
      <c r="AQ83" s="89"/>
      <c r="AR83" s="90"/>
      <c r="AS83" s="91"/>
      <c r="AT83" s="88"/>
      <c r="AU83" s="89"/>
      <c r="AV83" s="89"/>
      <c r="AW83" s="89"/>
      <c r="AX83" s="89"/>
      <c r="AY83" s="89"/>
      <c r="AZ83" s="89"/>
      <c r="BA83" s="89"/>
      <c r="BB83" s="89"/>
      <c r="BC83" s="89"/>
      <c r="BD83" s="90"/>
      <c r="BE83" s="91"/>
      <c r="BF83" s="88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90"/>
      <c r="BR83" s="93"/>
    </row>
    <row r="84" spans="1:70" s="50" customFormat="1" ht="9" customHeight="1" x14ac:dyDescent="0.25">
      <c r="A84" s="49"/>
      <c r="B84" s="92"/>
      <c r="C84" s="91"/>
      <c r="D84" s="91"/>
      <c r="E84" s="91"/>
      <c r="F84" s="91"/>
      <c r="G84" s="91"/>
      <c r="H84" s="91"/>
      <c r="I84" s="91"/>
      <c r="J84" s="91"/>
      <c r="K84" s="93"/>
      <c r="L84" s="91"/>
      <c r="M84" s="92"/>
      <c r="N84" s="91"/>
      <c r="O84" s="91"/>
      <c r="P84" s="91"/>
      <c r="Q84" s="91"/>
      <c r="R84" s="91"/>
      <c r="S84" s="91"/>
      <c r="T84" s="91"/>
      <c r="U84" s="91"/>
      <c r="V84" s="93"/>
      <c r="W84" s="91"/>
      <c r="X84" s="92"/>
      <c r="Y84" s="91"/>
      <c r="Z84" s="91"/>
      <c r="AA84" s="91"/>
      <c r="AB84" s="91"/>
      <c r="AC84" s="91"/>
      <c r="AD84" s="91"/>
      <c r="AE84" s="91"/>
      <c r="AF84" s="91"/>
      <c r="AG84" s="93"/>
      <c r="AH84" s="91"/>
      <c r="AI84" s="88"/>
      <c r="AJ84" s="89"/>
      <c r="AK84" s="89"/>
      <c r="AL84" s="89"/>
      <c r="AM84" s="89"/>
      <c r="AN84" s="89"/>
      <c r="AO84" s="89"/>
      <c r="AP84" s="89"/>
      <c r="AQ84" s="89"/>
      <c r="AR84" s="90"/>
      <c r="AS84" s="91"/>
      <c r="AT84" s="88"/>
      <c r="AU84" s="89"/>
      <c r="AV84" s="89"/>
      <c r="AW84" s="89"/>
      <c r="AX84" s="89"/>
      <c r="AY84" s="89"/>
      <c r="AZ84" s="89"/>
      <c r="BA84" s="89"/>
      <c r="BB84" s="89"/>
      <c r="BC84" s="89"/>
      <c r="BD84" s="90"/>
      <c r="BE84" s="91"/>
      <c r="BF84" s="88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90"/>
      <c r="BR84" s="93"/>
    </row>
    <row r="85" spans="1:70" s="50" customFormat="1" ht="9" customHeight="1" x14ac:dyDescent="0.25">
      <c r="A85" s="49"/>
      <c r="B85" s="92"/>
      <c r="C85" s="91"/>
      <c r="D85" s="91"/>
      <c r="E85" s="91"/>
      <c r="F85" s="91"/>
      <c r="G85" s="91"/>
      <c r="H85" s="91"/>
      <c r="I85" s="91"/>
      <c r="J85" s="91"/>
      <c r="K85" s="93"/>
      <c r="L85" s="91"/>
      <c r="M85" s="92"/>
      <c r="N85" s="91"/>
      <c r="O85" s="91"/>
      <c r="P85" s="91"/>
      <c r="Q85" s="91"/>
      <c r="R85" s="91"/>
      <c r="S85" s="91"/>
      <c r="T85" s="91"/>
      <c r="U85" s="91"/>
      <c r="V85" s="93"/>
      <c r="W85" s="91"/>
      <c r="X85" s="92"/>
      <c r="Y85" s="91"/>
      <c r="Z85" s="91"/>
      <c r="AA85" s="91"/>
      <c r="AB85" s="91"/>
      <c r="AC85" s="91"/>
      <c r="AD85" s="91"/>
      <c r="AE85" s="91"/>
      <c r="AF85" s="91"/>
      <c r="AG85" s="93"/>
      <c r="AH85" s="91"/>
      <c r="AI85" s="88"/>
      <c r="AJ85" s="89"/>
      <c r="AK85" s="89"/>
      <c r="AL85" s="89"/>
      <c r="AM85" s="89"/>
      <c r="AN85" s="89"/>
      <c r="AO85" s="89"/>
      <c r="AP85" s="89"/>
      <c r="AQ85" s="89"/>
      <c r="AR85" s="90"/>
      <c r="AS85" s="91"/>
      <c r="AT85" s="88"/>
      <c r="AU85" s="89"/>
      <c r="AV85" s="89"/>
      <c r="AW85" s="89"/>
      <c r="AX85" s="89"/>
      <c r="AY85" s="89"/>
      <c r="AZ85" s="89"/>
      <c r="BA85" s="89"/>
      <c r="BB85" s="89"/>
      <c r="BC85" s="89"/>
      <c r="BD85" s="90"/>
      <c r="BE85" s="91"/>
      <c r="BF85" s="88"/>
      <c r="BG85" s="89"/>
      <c r="BH85" s="89"/>
      <c r="BI85" s="89"/>
      <c r="BJ85" s="89"/>
      <c r="BK85" s="89"/>
      <c r="BL85" s="89"/>
      <c r="BM85" s="89"/>
      <c r="BN85" s="89"/>
      <c r="BO85" s="89"/>
      <c r="BP85" s="89"/>
      <c r="BQ85" s="90"/>
      <c r="BR85" s="93"/>
    </row>
    <row r="86" spans="1:70" s="50" customFormat="1" ht="9" customHeight="1" x14ac:dyDescent="0.25">
      <c r="A86" s="49"/>
      <c r="B86" s="92"/>
      <c r="C86" s="91"/>
      <c r="D86" s="91"/>
      <c r="E86" s="91"/>
      <c r="F86" s="91"/>
      <c r="G86" s="91"/>
      <c r="H86" s="91"/>
      <c r="I86" s="91"/>
      <c r="J86" s="91"/>
      <c r="K86" s="93"/>
      <c r="L86" s="91"/>
      <c r="M86" s="92"/>
      <c r="N86" s="91"/>
      <c r="O86" s="91"/>
      <c r="P86" s="91"/>
      <c r="Q86" s="91"/>
      <c r="R86" s="91"/>
      <c r="S86" s="91"/>
      <c r="T86" s="91"/>
      <c r="U86" s="91"/>
      <c r="V86" s="93"/>
      <c r="W86" s="91"/>
      <c r="X86" s="92"/>
      <c r="Y86" s="91"/>
      <c r="Z86" s="91"/>
      <c r="AA86" s="91"/>
      <c r="AB86" s="91"/>
      <c r="AC86" s="91"/>
      <c r="AD86" s="91"/>
      <c r="AE86" s="91"/>
      <c r="AF86" s="91"/>
      <c r="AG86" s="93"/>
      <c r="AH86" s="91"/>
      <c r="AI86" s="88"/>
      <c r="AJ86" s="89"/>
      <c r="AK86" s="89"/>
      <c r="AL86" s="89"/>
      <c r="AM86" s="89"/>
      <c r="AN86" s="89"/>
      <c r="AO86" s="89"/>
      <c r="AP86" s="89"/>
      <c r="AQ86" s="89"/>
      <c r="AR86" s="90"/>
      <c r="AS86" s="91"/>
      <c r="AT86" s="88"/>
      <c r="AU86" s="89"/>
      <c r="AV86" s="89"/>
      <c r="AW86" s="89"/>
      <c r="AX86" s="89"/>
      <c r="AY86" s="89"/>
      <c r="AZ86" s="89"/>
      <c r="BA86" s="89"/>
      <c r="BB86" s="89"/>
      <c r="BC86" s="89"/>
      <c r="BD86" s="90"/>
      <c r="BE86" s="91"/>
      <c r="BF86" s="88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90"/>
      <c r="BR86" s="93"/>
    </row>
    <row r="87" spans="1:70" s="50" customFormat="1" ht="9" customHeight="1" x14ac:dyDescent="0.25">
      <c r="A87" s="49"/>
      <c r="B87" s="92"/>
      <c r="C87" s="91"/>
      <c r="D87" s="91"/>
      <c r="E87" s="91"/>
      <c r="F87" s="91"/>
      <c r="G87" s="91"/>
      <c r="H87" s="91"/>
      <c r="I87" s="91"/>
      <c r="J87" s="91"/>
      <c r="K87" s="93"/>
      <c r="L87" s="91"/>
      <c r="M87" s="92"/>
      <c r="N87" s="91"/>
      <c r="O87" s="91"/>
      <c r="P87" s="91"/>
      <c r="Q87" s="91"/>
      <c r="R87" s="91"/>
      <c r="S87" s="91"/>
      <c r="T87" s="91"/>
      <c r="U87" s="91"/>
      <c r="V87" s="93"/>
      <c r="W87" s="91"/>
      <c r="X87" s="92"/>
      <c r="Y87" s="91"/>
      <c r="Z87" s="91"/>
      <c r="AA87" s="91"/>
      <c r="AB87" s="91"/>
      <c r="AC87" s="91"/>
      <c r="AD87" s="91"/>
      <c r="AE87" s="91"/>
      <c r="AF87" s="91"/>
      <c r="AG87" s="93"/>
      <c r="AH87" s="91"/>
      <c r="AI87" s="88"/>
      <c r="AJ87" s="89"/>
      <c r="AK87" s="89"/>
      <c r="AL87" s="89"/>
      <c r="AM87" s="89"/>
      <c r="AN87" s="89"/>
      <c r="AO87" s="89"/>
      <c r="AP87" s="89"/>
      <c r="AQ87" s="89"/>
      <c r="AR87" s="90"/>
      <c r="AS87" s="91"/>
      <c r="AT87" s="88"/>
      <c r="AU87" s="89"/>
      <c r="AV87" s="89"/>
      <c r="AW87" s="89"/>
      <c r="AX87" s="89"/>
      <c r="AY87" s="89"/>
      <c r="AZ87" s="89"/>
      <c r="BA87" s="89"/>
      <c r="BB87" s="89"/>
      <c r="BC87" s="89"/>
      <c r="BD87" s="90"/>
      <c r="BE87" s="91"/>
      <c r="BF87" s="88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90"/>
      <c r="BR87" s="93"/>
    </row>
    <row r="88" spans="1:70" s="50" customFormat="1" ht="9" customHeight="1" x14ac:dyDescent="0.25">
      <c r="A88" s="49"/>
      <c r="B88" s="92"/>
      <c r="C88" s="91"/>
      <c r="D88" s="91"/>
      <c r="E88" s="91"/>
      <c r="F88" s="91"/>
      <c r="G88" s="91"/>
      <c r="H88" s="91"/>
      <c r="I88" s="91"/>
      <c r="J88" s="91"/>
      <c r="K88" s="93"/>
      <c r="L88" s="91"/>
      <c r="M88" s="92"/>
      <c r="N88" s="91"/>
      <c r="O88" s="91"/>
      <c r="P88" s="91"/>
      <c r="Q88" s="91"/>
      <c r="R88" s="91"/>
      <c r="S88" s="91"/>
      <c r="T88" s="91"/>
      <c r="U88" s="91"/>
      <c r="V88" s="93"/>
      <c r="W88" s="91"/>
      <c r="X88" s="92"/>
      <c r="Y88" s="91"/>
      <c r="Z88" s="91"/>
      <c r="AA88" s="91"/>
      <c r="AB88" s="91"/>
      <c r="AC88" s="91"/>
      <c r="AD88" s="91"/>
      <c r="AE88" s="91"/>
      <c r="AF88" s="91"/>
      <c r="AG88" s="93"/>
      <c r="AH88" s="91"/>
      <c r="AI88" s="88"/>
      <c r="AJ88" s="89"/>
      <c r="AK88" s="89"/>
      <c r="AL88" s="89"/>
      <c r="AM88" s="89"/>
      <c r="AN88" s="89"/>
      <c r="AO88" s="89"/>
      <c r="AP88" s="89"/>
      <c r="AQ88" s="89"/>
      <c r="AR88" s="90"/>
      <c r="AS88" s="91"/>
      <c r="AT88" s="88"/>
      <c r="AU88" s="89"/>
      <c r="AV88" s="89"/>
      <c r="AW88" s="89"/>
      <c r="AX88" s="89"/>
      <c r="AY88" s="89"/>
      <c r="AZ88" s="89"/>
      <c r="BA88" s="89"/>
      <c r="BB88" s="89"/>
      <c r="BC88" s="89"/>
      <c r="BD88" s="90"/>
      <c r="BE88" s="91"/>
      <c r="BF88" s="88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90"/>
      <c r="BR88" s="93"/>
    </row>
    <row r="89" spans="1:70" s="50" customFormat="1" ht="9" customHeight="1" x14ac:dyDescent="0.25">
      <c r="A89" s="49"/>
      <c r="B89" s="297" t="s">
        <v>372</v>
      </c>
      <c r="C89" s="291"/>
      <c r="D89" s="291"/>
      <c r="E89" s="291"/>
      <c r="F89" s="291"/>
      <c r="G89" s="291"/>
      <c r="H89" s="291"/>
      <c r="I89" s="291"/>
      <c r="J89" s="291"/>
      <c r="K89" s="293"/>
      <c r="L89" s="91"/>
      <c r="M89" s="92"/>
      <c r="N89" s="91"/>
      <c r="O89" s="91"/>
      <c r="P89" s="91"/>
      <c r="Q89" s="91"/>
      <c r="R89" s="91"/>
      <c r="S89" s="91"/>
      <c r="T89" s="91"/>
      <c r="U89" s="91"/>
      <c r="V89" s="93"/>
      <c r="W89" s="91"/>
      <c r="X89" s="92"/>
      <c r="Y89" s="91"/>
      <c r="Z89" s="91"/>
      <c r="AA89" s="91"/>
      <c r="AB89" s="91"/>
      <c r="AC89" s="91"/>
      <c r="AD89" s="91"/>
      <c r="AE89" s="91"/>
      <c r="AF89" s="91"/>
      <c r="AG89" s="93"/>
      <c r="AH89" s="162"/>
      <c r="AI89" s="91"/>
      <c r="AJ89" s="91"/>
      <c r="AK89" s="91"/>
      <c r="AL89" s="91"/>
      <c r="AM89" s="91"/>
      <c r="AN89" s="91"/>
      <c r="AO89" s="91"/>
      <c r="AP89" s="91"/>
      <c r="AQ89" s="91"/>
      <c r="AR89" s="163"/>
      <c r="AS89" s="91"/>
      <c r="AT89" s="92"/>
      <c r="AU89" s="91"/>
      <c r="AV89" s="91"/>
      <c r="AW89" s="91"/>
      <c r="AX89" s="91"/>
      <c r="AY89" s="91"/>
      <c r="AZ89" s="91"/>
      <c r="BA89" s="91"/>
      <c r="BB89" s="91"/>
      <c r="BC89" s="91"/>
      <c r="BD89" s="93"/>
      <c r="BE89" s="91"/>
      <c r="BF89" s="92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3"/>
      <c r="BR89" s="93"/>
    </row>
    <row r="90" spans="1:70" s="50" customFormat="1" ht="9" customHeight="1" x14ac:dyDescent="0.25">
      <c r="A90" s="49"/>
      <c r="B90" s="241" t="s">
        <v>373</v>
      </c>
      <c r="C90" s="241"/>
      <c r="D90" s="241"/>
      <c r="E90" s="241"/>
      <c r="F90" s="241"/>
      <c r="G90" s="241"/>
      <c r="H90" s="240">
        <f>CEILING(187*B3,1)</f>
        <v>356</v>
      </c>
      <c r="I90" s="240"/>
      <c r="J90" s="240"/>
      <c r="K90" s="240"/>
      <c r="L90" s="91"/>
      <c r="M90" s="297" t="s">
        <v>374</v>
      </c>
      <c r="N90" s="291"/>
      <c r="O90" s="291"/>
      <c r="P90" s="291"/>
      <c r="Q90" s="291"/>
      <c r="R90" s="291"/>
      <c r="S90" s="291"/>
      <c r="T90" s="291"/>
      <c r="U90" s="291"/>
      <c r="V90" s="293"/>
      <c r="W90" s="91"/>
      <c r="X90" s="92"/>
      <c r="Y90" s="91"/>
      <c r="Z90" s="91"/>
      <c r="AA90" s="91"/>
      <c r="AB90" s="91"/>
      <c r="AC90" s="91"/>
      <c r="AD90" s="91"/>
      <c r="AE90" s="91"/>
      <c r="AF90" s="91"/>
      <c r="AG90" s="93"/>
      <c r="AH90" s="162"/>
      <c r="AI90" s="89"/>
      <c r="AJ90" s="89"/>
      <c r="AK90" s="89"/>
      <c r="AL90" s="89"/>
      <c r="AM90" s="89"/>
      <c r="AN90" s="89"/>
      <c r="AO90" s="91"/>
      <c r="AP90" s="91"/>
      <c r="AQ90" s="91"/>
      <c r="AR90" s="163"/>
      <c r="AS90" s="164"/>
      <c r="AT90" s="89"/>
      <c r="AU90" s="89"/>
      <c r="AV90" s="89"/>
      <c r="AW90" s="89"/>
      <c r="AX90" s="89"/>
      <c r="AY90" s="89"/>
      <c r="AZ90" s="89"/>
      <c r="BA90" s="91"/>
      <c r="BB90" s="91"/>
      <c r="BC90" s="91"/>
      <c r="BD90" s="163"/>
      <c r="BE90" s="164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3"/>
      <c r="BR90" s="93"/>
    </row>
    <row r="91" spans="1:70" s="50" customFormat="1" ht="9" customHeight="1" x14ac:dyDescent="0.25">
      <c r="A91" s="49"/>
      <c r="B91" s="241" t="s">
        <v>375</v>
      </c>
      <c r="C91" s="241"/>
      <c r="D91" s="241"/>
      <c r="E91" s="241"/>
      <c r="F91" s="241"/>
      <c r="G91" s="241"/>
      <c r="H91" s="240">
        <f>CEILING(399*B3,1)</f>
        <v>759</v>
      </c>
      <c r="I91" s="240"/>
      <c r="J91" s="240"/>
      <c r="K91" s="240"/>
      <c r="L91" s="91"/>
      <c r="M91" s="297" t="s">
        <v>376</v>
      </c>
      <c r="N91" s="291"/>
      <c r="O91" s="291"/>
      <c r="P91" s="291"/>
      <c r="Q91" s="291"/>
      <c r="R91" s="291"/>
      <c r="S91" s="291"/>
      <c r="T91" s="291"/>
      <c r="U91" s="291"/>
      <c r="V91" s="293"/>
      <c r="W91" s="91"/>
      <c r="X91" s="298" t="s">
        <v>377</v>
      </c>
      <c r="Y91" s="299"/>
      <c r="Z91" s="299"/>
      <c r="AA91" s="299"/>
      <c r="AB91" s="299"/>
      <c r="AC91" s="299"/>
      <c r="AD91" s="299"/>
      <c r="AE91" s="299"/>
      <c r="AF91" s="299"/>
      <c r="AG91" s="300"/>
      <c r="AH91" s="162"/>
      <c r="AI91" s="301" t="s">
        <v>378</v>
      </c>
      <c r="AJ91" s="299"/>
      <c r="AK91" s="299"/>
      <c r="AL91" s="299"/>
      <c r="AM91" s="299"/>
      <c r="AN91" s="299"/>
      <c r="AO91" s="299"/>
      <c r="AP91" s="299"/>
      <c r="AQ91" s="299"/>
      <c r="AR91" s="302"/>
      <c r="AS91" s="164"/>
      <c r="AT91" s="290" t="s">
        <v>378</v>
      </c>
      <c r="AU91" s="291"/>
      <c r="AV91" s="291"/>
      <c r="AW91" s="291"/>
      <c r="AX91" s="291"/>
      <c r="AY91" s="291"/>
      <c r="AZ91" s="291"/>
      <c r="BA91" s="291"/>
      <c r="BB91" s="291"/>
      <c r="BC91" s="291"/>
      <c r="BD91" s="292"/>
      <c r="BE91" s="164"/>
      <c r="BF91" s="290" t="s">
        <v>378</v>
      </c>
      <c r="BG91" s="291"/>
      <c r="BH91" s="291"/>
      <c r="BI91" s="291"/>
      <c r="BJ91" s="291"/>
      <c r="BK91" s="291"/>
      <c r="BL91" s="291"/>
      <c r="BM91" s="291"/>
      <c r="BN91" s="291"/>
      <c r="BO91" s="291"/>
      <c r="BP91" s="291"/>
      <c r="BQ91" s="293"/>
      <c r="BR91" s="93"/>
    </row>
    <row r="92" spans="1:70" s="50" customFormat="1" ht="9" customHeight="1" x14ac:dyDescent="0.25">
      <c r="A92" s="49"/>
      <c r="B92" s="241" t="s">
        <v>379</v>
      </c>
      <c r="C92" s="241"/>
      <c r="D92" s="241"/>
      <c r="E92" s="241"/>
      <c r="F92" s="241"/>
      <c r="G92" s="241"/>
      <c r="H92" s="240">
        <f>CEILING(585*B3,1)</f>
        <v>1112</v>
      </c>
      <c r="I92" s="240"/>
      <c r="J92" s="240"/>
      <c r="K92" s="240"/>
      <c r="L92" s="2"/>
      <c r="M92" s="241" t="s">
        <v>380</v>
      </c>
      <c r="N92" s="241"/>
      <c r="O92" s="241"/>
      <c r="P92" s="241"/>
      <c r="Q92" s="241"/>
      <c r="R92" s="241"/>
      <c r="S92" s="240">
        <f>CEILING(3553*B3,1)</f>
        <v>6751</v>
      </c>
      <c r="T92" s="240"/>
      <c r="U92" s="240"/>
      <c r="V92" s="240"/>
      <c r="W92" s="2"/>
      <c r="X92" s="241" t="s">
        <v>381</v>
      </c>
      <c r="Y92" s="241"/>
      <c r="Z92" s="241"/>
      <c r="AA92" s="241"/>
      <c r="AB92" s="241"/>
      <c r="AC92" s="241"/>
      <c r="AD92" s="240">
        <f>CEILING(3051*B3,1)</f>
        <v>5797</v>
      </c>
      <c r="AE92" s="240"/>
      <c r="AF92" s="240"/>
      <c r="AG92" s="240"/>
      <c r="AH92" s="2"/>
      <c r="AI92" s="241" t="s">
        <v>382</v>
      </c>
      <c r="AJ92" s="241"/>
      <c r="AK92" s="241"/>
      <c r="AL92" s="241"/>
      <c r="AM92" s="241"/>
      <c r="AN92" s="241"/>
      <c r="AO92" s="240">
        <f>CEILING(2860*B3,1)</f>
        <v>5434</v>
      </c>
      <c r="AP92" s="240"/>
      <c r="AQ92" s="240"/>
      <c r="AR92" s="240"/>
      <c r="AS92" s="2"/>
      <c r="AT92" s="241" t="s">
        <v>383</v>
      </c>
      <c r="AU92" s="241"/>
      <c r="AV92" s="241"/>
      <c r="AW92" s="241"/>
      <c r="AX92" s="241"/>
      <c r="AY92" s="241"/>
      <c r="AZ92" s="241"/>
      <c r="BA92" s="240">
        <f>CEILING(2781*B3,1)</f>
        <v>5284</v>
      </c>
      <c r="BB92" s="240"/>
      <c r="BC92" s="240"/>
      <c r="BD92" s="240"/>
      <c r="BE92" s="2"/>
      <c r="BF92" s="241" t="s">
        <v>384</v>
      </c>
      <c r="BG92" s="241"/>
      <c r="BH92" s="241"/>
      <c r="BI92" s="241"/>
      <c r="BJ92" s="241"/>
      <c r="BK92" s="241"/>
      <c r="BL92" s="241"/>
      <c r="BM92" s="241"/>
      <c r="BN92" s="240">
        <f>CEILING(4567*B3,1)</f>
        <v>8678</v>
      </c>
      <c r="BO92" s="240"/>
      <c r="BP92" s="240"/>
      <c r="BQ92" s="240"/>
      <c r="BR92" s="93"/>
    </row>
    <row r="93" spans="1:70" s="6" customFormat="1" ht="13.5" customHeight="1" x14ac:dyDescent="0.25">
      <c r="B93" s="7" t="s">
        <v>7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</row>
    <row r="94" spans="1:70" s="6" customFormat="1" ht="69.95" customHeight="1" x14ac:dyDescent="0.25">
      <c r="B94" s="17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7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7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3"/>
    </row>
    <row r="95" spans="1:70" s="6" customFormat="1" ht="69.95" customHeight="1" x14ac:dyDescent="0.25">
      <c r="B95" s="18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18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18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14"/>
    </row>
    <row r="96" spans="1:70" s="6" customFormat="1" ht="69.95" customHeight="1" x14ac:dyDescent="0.25">
      <c r="B96" s="18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18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18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14"/>
    </row>
    <row r="97" spans="2:53" s="6" customFormat="1" ht="69.95" customHeight="1" x14ac:dyDescent="0.25">
      <c r="B97" s="18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18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18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14"/>
    </row>
    <row r="98" spans="2:53" s="6" customFormat="1" ht="69.95" customHeight="1" x14ac:dyDescent="0.25">
      <c r="B98" s="18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17"/>
      <c r="T98" s="12"/>
      <c r="U98" s="12"/>
      <c r="V98" s="12"/>
      <c r="W98" s="12"/>
      <c r="X98" s="12"/>
      <c r="Y98" s="12"/>
      <c r="Z98" s="12"/>
      <c r="AA98" s="22" t="s">
        <v>8</v>
      </c>
      <c r="AB98" s="12"/>
      <c r="AC98" s="12"/>
      <c r="AD98" s="12"/>
      <c r="AE98" s="12"/>
      <c r="AF98" s="12"/>
      <c r="AG98" s="12"/>
      <c r="AH98" s="12"/>
      <c r="AI98" s="2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1"/>
      <c r="AZ98" s="11"/>
      <c r="BA98" s="21"/>
    </row>
    <row r="99" spans="2:53" s="6" customFormat="1" ht="69.95" customHeight="1" x14ac:dyDescent="0.25">
      <c r="B99" s="19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9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6"/>
      <c r="AZ99" s="16"/>
      <c r="BA99" s="20"/>
    </row>
    <row r="100" spans="2:53" ht="9" customHeight="1" x14ac:dyDescent="0.25"/>
    <row r="101" spans="2:53" ht="9" customHeight="1" x14ac:dyDescent="0.25"/>
    <row r="102" spans="2:53" ht="9" customHeight="1" x14ac:dyDescent="0.25"/>
    <row r="103" spans="2:53" ht="9" customHeight="1" x14ac:dyDescent="0.25"/>
    <row r="104" spans="2:53" ht="9" customHeight="1" x14ac:dyDescent="0.25"/>
    <row r="105" spans="2:53" ht="9" customHeight="1" x14ac:dyDescent="0.25"/>
    <row r="106" spans="2:53" ht="9" customHeight="1" x14ac:dyDescent="0.25"/>
    <row r="107" spans="2:53" ht="9" customHeight="1" x14ac:dyDescent="0.25"/>
    <row r="108" spans="2:53" ht="9" customHeight="1" x14ac:dyDescent="0.25"/>
    <row r="109" spans="2:53" ht="9" customHeight="1" x14ac:dyDescent="0.25"/>
    <row r="110" spans="2:53" ht="9" customHeight="1" x14ac:dyDescent="0.25"/>
    <row r="111" spans="2:53" ht="9" customHeight="1" x14ac:dyDescent="0.25"/>
    <row r="112" spans="2:53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  <row r="269" ht="9" customHeight="1" x14ac:dyDescent="0.25"/>
    <row r="270" ht="9" customHeight="1" x14ac:dyDescent="0.25"/>
    <row r="271" ht="9" customHeight="1" x14ac:dyDescent="0.25"/>
    <row r="272" ht="9" customHeight="1" x14ac:dyDescent="0.25"/>
    <row r="273" ht="9" customHeight="1" x14ac:dyDescent="0.25"/>
    <row r="274" ht="9" customHeight="1" x14ac:dyDescent="0.25"/>
    <row r="275" ht="9" customHeight="1" x14ac:dyDescent="0.25"/>
    <row r="276" ht="9" customHeight="1" x14ac:dyDescent="0.25"/>
    <row r="277" ht="9" customHeight="1" x14ac:dyDescent="0.25"/>
    <row r="278" ht="9" customHeight="1" x14ac:dyDescent="0.25"/>
    <row r="279" ht="9" customHeight="1" x14ac:dyDescent="0.25"/>
    <row r="280" ht="9" customHeight="1" x14ac:dyDescent="0.25"/>
    <row r="281" ht="9" customHeight="1" x14ac:dyDescent="0.25"/>
    <row r="282" ht="9" customHeight="1" x14ac:dyDescent="0.25"/>
    <row r="283" ht="9" customHeight="1" x14ac:dyDescent="0.25"/>
    <row r="284" ht="9" customHeight="1" x14ac:dyDescent="0.25"/>
    <row r="285" ht="9" customHeight="1" x14ac:dyDescent="0.25"/>
    <row r="286" ht="9" customHeight="1" x14ac:dyDescent="0.25"/>
    <row r="287" ht="9" customHeight="1" x14ac:dyDescent="0.25"/>
    <row r="288" ht="9" customHeight="1" x14ac:dyDescent="0.25"/>
    <row r="289" ht="9" customHeight="1" x14ac:dyDescent="0.25"/>
    <row r="290" ht="9" customHeight="1" x14ac:dyDescent="0.25"/>
    <row r="291" ht="9" customHeight="1" x14ac:dyDescent="0.25"/>
    <row r="292" ht="9" customHeight="1" x14ac:dyDescent="0.25"/>
    <row r="293" ht="9" customHeight="1" x14ac:dyDescent="0.25"/>
    <row r="294" ht="9" customHeight="1" x14ac:dyDescent="0.25"/>
    <row r="295" ht="9" customHeight="1" x14ac:dyDescent="0.25"/>
    <row r="296" ht="9" customHeight="1" x14ac:dyDescent="0.25"/>
    <row r="297" ht="9" customHeight="1" x14ac:dyDescent="0.25"/>
    <row r="298" ht="9" customHeight="1" x14ac:dyDescent="0.25"/>
    <row r="299" ht="9" customHeight="1" x14ac:dyDescent="0.25"/>
    <row r="300" ht="9" customHeight="1" x14ac:dyDescent="0.25"/>
    <row r="301" ht="9" customHeight="1" x14ac:dyDescent="0.25"/>
    <row r="302" ht="9" customHeight="1" x14ac:dyDescent="0.25"/>
    <row r="303" ht="9" customHeight="1" x14ac:dyDescent="0.25"/>
    <row r="304" ht="9" customHeight="1" x14ac:dyDescent="0.25"/>
    <row r="305" ht="9" customHeight="1" x14ac:dyDescent="0.25"/>
    <row r="306" ht="9" customHeight="1" x14ac:dyDescent="0.25"/>
  </sheetData>
  <mergeCells count="172">
    <mergeCell ref="B3:K3"/>
    <mergeCell ref="M3:BQ3"/>
    <mergeCell ref="B19:K19"/>
    <mergeCell ref="M19:V19"/>
    <mergeCell ref="X19:AG19"/>
    <mergeCell ref="AI19:AR19"/>
    <mergeCell ref="AT19:BD19"/>
    <mergeCell ref="BF19:BQ19"/>
    <mergeCell ref="A5:BQ5"/>
    <mergeCell ref="B6:BQ6"/>
    <mergeCell ref="B8:E8"/>
    <mergeCell ref="M8:P8"/>
    <mergeCell ref="X8:AA8"/>
    <mergeCell ref="AI8:AL8"/>
    <mergeCell ref="AT8:AW8"/>
    <mergeCell ref="BF8:BI8"/>
    <mergeCell ref="AI20:AN20"/>
    <mergeCell ref="AO20:AR20"/>
    <mergeCell ref="AT20:AZ20"/>
    <mergeCell ref="BA20:BD20"/>
    <mergeCell ref="BF20:BM20"/>
    <mergeCell ref="BN20:BQ20"/>
    <mergeCell ref="B20:G20"/>
    <mergeCell ref="H20:K20"/>
    <mergeCell ref="M20:R20"/>
    <mergeCell ref="S20:V20"/>
    <mergeCell ref="X20:AC20"/>
    <mergeCell ref="AD20:AG20"/>
    <mergeCell ref="B33:K33"/>
    <mergeCell ref="M33:V33"/>
    <mergeCell ref="X33:AG33"/>
    <mergeCell ref="AI33:AR33"/>
    <mergeCell ref="AT33:BD33"/>
    <mergeCell ref="BF33:BQ33"/>
    <mergeCell ref="B22:E22"/>
    <mergeCell ref="M22:P22"/>
    <mergeCell ref="X22:AA22"/>
    <mergeCell ref="AI22:AL22"/>
    <mergeCell ref="AT22:AW22"/>
    <mergeCell ref="BF22:BI22"/>
    <mergeCell ref="AI34:AN34"/>
    <mergeCell ref="AO34:AR34"/>
    <mergeCell ref="AT34:AZ34"/>
    <mergeCell ref="BA34:BD34"/>
    <mergeCell ref="BF34:BM34"/>
    <mergeCell ref="BN34:BQ34"/>
    <mergeCell ref="B34:G34"/>
    <mergeCell ref="H34:K34"/>
    <mergeCell ref="M34:R34"/>
    <mergeCell ref="S34:V34"/>
    <mergeCell ref="X34:AC34"/>
    <mergeCell ref="AD34:AG34"/>
    <mergeCell ref="B48:K48"/>
    <mergeCell ref="M48:V48"/>
    <mergeCell ref="X48:AG48"/>
    <mergeCell ref="AI48:AR48"/>
    <mergeCell ref="AT48:BD48"/>
    <mergeCell ref="BF48:BQ48"/>
    <mergeCell ref="B36:BQ36"/>
    <mergeCell ref="B38:F38"/>
    <mergeCell ref="M38:Q38"/>
    <mergeCell ref="X38:AB38"/>
    <mergeCell ref="AI38:AM38"/>
    <mergeCell ref="AT38:AX38"/>
    <mergeCell ref="BF38:BJ38"/>
    <mergeCell ref="BN50:BQ50"/>
    <mergeCell ref="B50:G50"/>
    <mergeCell ref="H50:K50"/>
    <mergeCell ref="M50:R50"/>
    <mergeCell ref="S50:V50"/>
    <mergeCell ref="X50:AC50"/>
    <mergeCell ref="AD50:AG50"/>
    <mergeCell ref="B49:K49"/>
    <mergeCell ref="M49:V49"/>
    <mergeCell ref="X49:AG49"/>
    <mergeCell ref="AI49:AR49"/>
    <mergeCell ref="AT49:BD49"/>
    <mergeCell ref="BF49:BQ49"/>
    <mergeCell ref="B52:F52"/>
    <mergeCell ref="M52:Q52"/>
    <mergeCell ref="X52:AB52"/>
    <mergeCell ref="AI52:AM52"/>
    <mergeCell ref="AT52:AX52"/>
    <mergeCell ref="BF52:BJ52"/>
    <mergeCell ref="AI50:AN50"/>
    <mergeCell ref="AO50:AR50"/>
    <mergeCell ref="AT50:AZ50"/>
    <mergeCell ref="BA50:BD50"/>
    <mergeCell ref="BF50:BM50"/>
    <mergeCell ref="AI63:AR63"/>
    <mergeCell ref="AT63:BD63"/>
    <mergeCell ref="BF63:BQ63"/>
    <mergeCell ref="B62:K62"/>
    <mergeCell ref="M62:V62"/>
    <mergeCell ref="X62:AG62"/>
    <mergeCell ref="AI62:AR62"/>
    <mergeCell ref="AT62:BD62"/>
    <mergeCell ref="BF62:BQ62"/>
    <mergeCell ref="B64:G64"/>
    <mergeCell ref="H64:K64"/>
    <mergeCell ref="M64:R64"/>
    <mergeCell ref="S64:V64"/>
    <mergeCell ref="X64:AC64"/>
    <mergeCell ref="AD64:AG64"/>
    <mergeCell ref="B63:K63"/>
    <mergeCell ref="M63:V63"/>
    <mergeCell ref="X63:AG63"/>
    <mergeCell ref="AI66:AK66"/>
    <mergeCell ref="AT66:AV66"/>
    <mergeCell ref="BF66:BH66"/>
    <mergeCell ref="AI64:AN64"/>
    <mergeCell ref="AO64:AR64"/>
    <mergeCell ref="AT64:AZ64"/>
    <mergeCell ref="BA64:BD64"/>
    <mergeCell ref="BF64:BM64"/>
    <mergeCell ref="BN64:BQ64"/>
    <mergeCell ref="B72:D72"/>
    <mergeCell ref="X76:AG76"/>
    <mergeCell ref="B77:K77"/>
    <mergeCell ref="M77:V77"/>
    <mergeCell ref="X77:AC77"/>
    <mergeCell ref="AD77:AG77"/>
    <mergeCell ref="B66:D66"/>
    <mergeCell ref="M66:O66"/>
    <mergeCell ref="X66:Z66"/>
    <mergeCell ref="AI77:AR77"/>
    <mergeCell ref="AT77:BD77"/>
    <mergeCell ref="BF77:BQ77"/>
    <mergeCell ref="B78:G78"/>
    <mergeCell ref="H78:K78"/>
    <mergeCell ref="M78:R78"/>
    <mergeCell ref="S78:V78"/>
    <mergeCell ref="X78:AC78"/>
    <mergeCell ref="AD78:AG78"/>
    <mergeCell ref="AI78:AN78"/>
    <mergeCell ref="M91:V91"/>
    <mergeCell ref="X91:AG91"/>
    <mergeCell ref="AI91:AR91"/>
    <mergeCell ref="AO78:AR78"/>
    <mergeCell ref="AT78:BA78"/>
    <mergeCell ref="BB78:BD78"/>
    <mergeCell ref="BF78:BM78"/>
    <mergeCell ref="BN78:BQ78"/>
    <mergeCell ref="B80:D80"/>
    <mergeCell ref="M80:O80"/>
    <mergeCell ref="X80:Z80"/>
    <mergeCell ref="AI80:AN80"/>
    <mergeCell ref="AT80:AY80"/>
    <mergeCell ref="AT92:AZ92"/>
    <mergeCell ref="BA92:BD92"/>
    <mergeCell ref="BF92:BM92"/>
    <mergeCell ref="BN92:BQ92"/>
    <mergeCell ref="A1:BC1"/>
    <mergeCell ref="BJ1:BR1"/>
    <mergeCell ref="A2:BR2"/>
    <mergeCell ref="AT91:BD91"/>
    <mergeCell ref="BF91:BQ91"/>
    <mergeCell ref="B92:G92"/>
    <mergeCell ref="H92:K92"/>
    <mergeCell ref="M92:R92"/>
    <mergeCell ref="S92:V92"/>
    <mergeCell ref="X92:AC92"/>
    <mergeCell ref="AD92:AG92"/>
    <mergeCell ref="AI92:AN92"/>
    <mergeCell ref="AO92:AR92"/>
    <mergeCell ref="BF80:BK80"/>
    <mergeCell ref="B89:K89"/>
    <mergeCell ref="B90:G90"/>
    <mergeCell ref="H90:K90"/>
    <mergeCell ref="M90:V90"/>
    <mergeCell ref="B91:G91"/>
    <mergeCell ref="H91:K91"/>
  </mergeCells>
  <hyperlinks>
    <hyperlink ref="BJ1:BR1" location="ОГЛАВЛЕНИЕ!A1" display="ОГЛАВЛЕНИЕ!A1" xr:uid="{1AA10A64-5844-43A9-9A1F-32089F944232}"/>
  </hyperlinks>
  <printOptions horizontalCentered="1"/>
  <pageMargins left="0.23622047244094491" right="0.23622047244094491" top="0.23622047244094491" bottom="0.23622047244094491" header="0.23622047244094491" footer="0.23622047244094491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8476A-D7CC-4B30-BA95-3E9B9246B4B6}">
  <sheetPr>
    <tabColor rgb="FF92D050"/>
    <pageSetUpPr fitToPage="1"/>
  </sheetPr>
  <dimension ref="A1:BP292"/>
  <sheetViews>
    <sheetView showGridLines="0" view="pageBreakPreview" zoomScaleSheetLayoutView="100" workbookViewId="0">
      <selection activeCell="BH1" sqref="BH1:BO1"/>
    </sheetView>
  </sheetViews>
  <sheetFormatPr defaultColWidth="9.140625" defaultRowHeight="8.25" x14ac:dyDescent="0.25"/>
  <cols>
    <col min="1" max="1" width="0.28515625" style="46" customWidth="1"/>
    <col min="2" max="12" width="1.7109375" style="46" customWidth="1"/>
    <col min="13" max="13" width="3" style="46" customWidth="1"/>
    <col min="14" max="15" width="1.7109375" style="46" customWidth="1"/>
    <col min="16" max="16" width="4.7109375" style="46" customWidth="1"/>
    <col min="17" max="17" width="0.28515625" style="46" customWidth="1"/>
    <col min="18" max="20" width="1.7109375" style="46" customWidth="1"/>
    <col min="21" max="21" width="2.42578125" style="46" customWidth="1"/>
    <col min="22" max="22" width="2.5703125" style="46" customWidth="1"/>
    <col min="23" max="23" width="0.28515625" style="46" customWidth="1"/>
    <col min="24" max="29" width="1.7109375" style="46" customWidth="1"/>
    <col min="30" max="30" width="2.28515625" style="46" customWidth="1"/>
    <col min="31" max="32" width="1.7109375" style="46" customWidth="1"/>
    <col min="33" max="33" width="3.140625" style="46" customWidth="1"/>
    <col min="34" max="34" width="0.28515625" style="46" customWidth="1"/>
    <col min="35" max="43" width="1.7109375" style="46" customWidth="1"/>
    <col min="44" max="44" width="2.42578125" style="46" customWidth="1"/>
    <col min="45" max="45" width="2.85546875" style="46" customWidth="1"/>
    <col min="46" max="46" width="0.28515625" style="46" customWidth="1"/>
    <col min="47" max="49" width="1.7109375" style="46" customWidth="1"/>
    <col min="50" max="50" width="2.140625" style="46" customWidth="1"/>
    <col min="51" max="51" width="0.28515625" style="46" customWidth="1"/>
    <col min="52" max="64" width="1.7109375" style="46" customWidth="1"/>
    <col min="65" max="65" width="2.140625" style="46" customWidth="1"/>
    <col min="66" max="66" width="2.28515625" style="46" customWidth="1"/>
    <col min="67" max="67" width="4.7109375" style="46" customWidth="1"/>
    <col min="68" max="68" width="0.28515625" style="46" customWidth="1"/>
    <col min="69" max="16384" width="9.140625" style="46"/>
  </cols>
  <sheetData>
    <row r="1" spans="1:68" s="6" customFormat="1" ht="90.95" customHeight="1" x14ac:dyDescent="0.25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171"/>
      <c r="BE1" s="170"/>
      <c r="BF1" s="170"/>
      <c r="BG1" s="170"/>
      <c r="BH1" s="319" t="s">
        <v>0</v>
      </c>
      <c r="BI1" s="319"/>
      <c r="BJ1" s="319"/>
      <c r="BK1" s="319"/>
      <c r="BL1" s="319"/>
      <c r="BM1" s="319"/>
      <c r="BN1" s="319"/>
      <c r="BO1" s="320"/>
      <c r="BP1" s="173"/>
    </row>
    <row r="2" spans="1:68" s="6" customFormat="1" ht="12" x14ac:dyDescent="0.25">
      <c r="A2" s="232" t="s">
        <v>14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3"/>
      <c r="BD2" s="233"/>
      <c r="BE2" s="233"/>
      <c r="BF2" s="233"/>
      <c r="BG2" s="233"/>
      <c r="BH2" s="233"/>
      <c r="BI2" s="233"/>
      <c r="BJ2" s="233"/>
      <c r="BK2" s="233"/>
      <c r="BL2" s="233"/>
      <c r="BM2" s="233"/>
      <c r="BN2" s="233"/>
      <c r="BO2" s="234"/>
      <c r="BP2" s="172"/>
    </row>
    <row r="3" spans="1:68" ht="18" customHeight="1" x14ac:dyDescent="0.25">
      <c r="A3" s="168"/>
      <c r="B3" s="277">
        <v>1.9</v>
      </c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166"/>
      <c r="R3" s="279" t="s">
        <v>386</v>
      </c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87"/>
    </row>
    <row r="4" spans="1:68" hidden="1" x14ac:dyDescent="0.25"/>
    <row r="5" spans="1:68" hidden="1" x14ac:dyDescent="0.25"/>
    <row r="6" spans="1:68" ht="2.1" customHeight="1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5"/>
    </row>
    <row r="7" spans="1:68" ht="21" customHeight="1" x14ac:dyDescent="0.25">
      <c r="A7" s="48"/>
      <c r="B7" s="280" t="s">
        <v>16</v>
      </c>
      <c r="C7" s="280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47"/>
    </row>
    <row r="8" spans="1:68" s="50" customFormat="1" ht="9" customHeight="1" x14ac:dyDescent="0.25">
      <c r="A8" s="49"/>
      <c r="B8" s="341" t="s">
        <v>148</v>
      </c>
      <c r="C8" s="342"/>
      <c r="D8" s="342"/>
      <c r="E8" s="342"/>
      <c r="F8" s="342"/>
      <c r="G8" s="342"/>
      <c r="H8" s="343"/>
      <c r="I8" s="8"/>
      <c r="J8" s="8"/>
      <c r="K8" s="60"/>
      <c r="L8" s="60"/>
      <c r="M8" s="60"/>
      <c r="N8" s="60"/>
      <c r="O8" s="60"/>
      <c r="P8" s="61"/>
      <c r="Q8" s="60"/>
      <c r="R8" s="341" t="s">
        <v>149</v>
      </c>
      <c r="S8" s="342"/>
      <c r="T8" s="342"/>
      <c r="U8" s="342"/>
      <c r="V8" s="342"/>
      <c r="W8" s="342"/>
      <c r="X8" s="342"/>
      <c r="Y8" s="343"/>
      <c r="Z8" s="8"/>
      <c r="AA8" s="60"/>
      <c r="AB8" s="60"/>
      <c r="AC8" s="60"/>
      <c r="AD8" s="60"/>
      <c r="AE8" s="60"/>
      <c r="AF8" s="60"/>
      <c r="AG8" s="61"/>
      <c r="AH8" s="60"/>
      <c r="AI8" s="341" t="s">
        <v>150</v>
      </c>
      <c r="AJ8" s="342"/>
      <c r="AK8" s="342"/>
      <c r="AL8" s="342"/>
      <c r="AM8" s="342"/>
      <c r="AN8" s="342"/>
      <c r="AO8" s="343"/>
      <c r="AP8" s="8"/>
      <c r="AQ8" s="8"/>
      <c r="AR8" s="60"/>
      <c r="AS8" s="60"/>
      <c r="AT8" s="60"/>
      <c r="AU8" s="60"/>
      <c r="AV8" s="60"/>
      <c r="AW8" s="60"/>
      <c r="AX8" s="61"/>
      <c r="AY8" s="60"/>
      <c r="AZ8" s="341" t="s">
        <v>151</v>
      </c>
      <c r="BA8" s="342"/>
      <c r="BB8" s="342"/>
      <c r="BC8" s="342"/>
      <c r="BD8" s="342"/>
      <c r="BE8" s="342"/>
      <c r="BF8" s="343"/>
      <c r="BG8" s="8"/>
      <c r="BH8" s="8"/>
      <c r="BI8" s="60"/>
      <c r="BJ8" s="60"/>
      <c r="BK8" s="60"/>
      <c r="BL8" s="60"/>
      <c r="BM8" s="60"/>
      <c r="BN8" s="60"/>
      <c r="BO8" s="61"/>
      <c r="BP8" s="52"/>
    </row>
    <row r="9" spans="1:68" s="50" customFormat="1" ht="9" customHeight="1" x14ac:dyDescent="0.25">
      <c r="A9" s="49"/>
      <c r="B9" s="59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1"/>
      <c r="Q9" s="60"/>
      <c r="R9" s="59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1"/>
      <c r="AH9" s="60"/>
      <c r="AI9" s="59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1"/>
      <c r="AY9" s="60"/>
      <c r="AZ9" s="59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1"/>
      <c r="BP9" s="97"/>
    </row>
    <row r="10" spans="1:68" s="50" customFormat="1" ht="9" customHeight="1" x14ac:dyDescent="0.25">
      <c r="A10" s="49"/>
      <c r="B10" s="59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1"/>
      <c r="Q10" s="60"/>
      <c r="R10" s="59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1"/>
      <c r="AH10" s="60"/>
      <c r="AI10" s="59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1"/>
      <c r="AY10" s="60"/>
      <c r="AZ10" s="59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1"/>
      <c r="BP10" s="97"/>
    </row>
    <row r="11" spans="1:68" s="50" customFormat="1" ht="9" customHeight="1" x14ac:dyDescent="0.25">
      <c r="A11" s="49"/>
      <c r="B11" s="59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1"/>
      <c r="Q11" s="60"/>
      <c r="R11" s="59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1"/>
      <c r="AH11" s="60"/>
      <c r="AI11" s="59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1"/>
      <c r="AY11" s="60"/>
      <c r="AZ11" s="59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1"/>
      <c r="BP11" s="97"/>
    </row>
    <row r="12" spans="1:68" s="50" customFormat="1" ht="9" customHeight="1" x14ac:dyDescent="0.25">
      <c r="A12" s="49"/>
      <c r="B12" s="59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1"/>
      <c r="Q12" s="60"/>
      <c r="R12" s="59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1"/>
      <c r="AH12" s="60"/>
      <c r="AI12" s="59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1"/>
      <c r="AY12" s="60"/>
      <c r="AZ12" s="59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1"/>
      <c r="BP12" s="97"/>
    </row>
    <row r="13" spans="1:68" s="50" customFormat="1" ht="9" customHeight="1" x14ac:dyDescent="0.25">
      <c r="A13" s="49"/>
      <c r="B13" s="59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1"/>
      <c r="Q13" s="60"/>
      <c r="R13" s="59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1"/>
      <c r="AH13" s="60"/>
      <c r="AI13" s="59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1"/>
      <c r="AY13" s="60"/>
      <c r="AZ13" s="59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1"/>
      <c r="BP13" s="97"/>
    </row>
    <row r="14" spans="1:68" s="50" customFormat="1" ht="9" customHeight="1" x14ac:dyDescent="0.25">
      <c r="A14" s="49"/>
      <c r="B14" s="59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1"/>
      <c r="Q14" s="60"/>
      <c r="R14" s="59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1"/>
      <c r="AH14" s="60"/>
      <c r="AI14" s="59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1"/>
      <c r="AY14" s="60"/>
      <c r="AZ14" s="59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1"/>
      <c r="BP14" s="97"/>
    </row>
    <row r="15" spans="1:68" s="50" customFormat="1" ht="9" customHeight="1" x14ac:dyDescent="0.25">
      <c r="A15" s="49"/>
      <c r="B15" s="59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1"/>
      <c r="Q15" s="60"/>
      <c r="R15" s="59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1"/>
      <c r="AH15" s="60"/>
      <c r="AI15" s="59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1"/>
      <c r="AY15" s="60"/>
      <c r="AZ15" s="59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1"/>
      <c r="BP15" s="97"/>
    </row>
    <row r="16" spans="1:68" s="50" customFormat="1" ht="9" customHeight="1" x14ac:dyDescent="0.25">
      <c r="A16" s="49"/>
      <c r="B16" s="59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1"/>
      <c r="Q16" s="60"/>
      <c r="R16" s="59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1"/>
      <c r="AH16" s="60"/>
      <c r="AI16" s="59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1"/>
      <c r="AY16" s="60"/>
      <c r="AZ16" s="59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1"/>
      <c r="BP16" s="97"/>
    </row>
    <row r="17" spans="1:68" s="50" customFormat="1" ht="9" customHeight="1" x14ac:dyDescent="0.25">
      <c r="A17" s="49"/>
      <c r="B17" s="59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1"/>
      <c r="Q17" s="60"/>
      <c r="R17" s="59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1"/>
      <c r="AH17" s="60"/>
      <c r="AI17" s="59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1"/>
      <c r="AY17" s="60"/>
      <c r="AZ17" s="59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1"/>
      <c r="BP17" s="97"/>
    </row>
    <row r="18" spans="1:68" s="50" customFormat="1" ht="9" customHeight="1" x14ac:dyDescent="0.25">
      <c r="A18" s="49"/>
      <c r="B18" s="59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1"/>
      <c r="Q18" s="60"/>
      <c r="R18" s="59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1"/>
      <c r="AH18" s="60"/>
      <c r="AI18" s="59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1"/>
      <c r="AY18" s="60"/>
      <c r="AZ18" s="59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1"/>
      <c r="BP18" s="97"/>
    </row>
    <row r="19" spans="1:68" s="50" customFormat="1" ht="9" customHeight="1" x14ac:dyDescent="0.25">
      <c r="A19" s="49"/>
      <c r="B19" s="59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1"/>
      <c r="Q19" s="60"/>
      <c r="R19" s="59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1"/>
      <c r="AH19" s="60"/>
      <c r="AI19" s="59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1"/>
      <c r="AY19" s="60"/>
      <c r="AZ19" s="59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1"/>
      <c r="BP19" s="97"/>
    </row>
    <row r="20" spans="1:68" s="50" customFormat="1" ht="9" customHeight="1" x14ac:dyDescent="0.25">
      <c r="A20" s="49"/>
      <c r="B20" s="59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1"/>
      <c r="Q20" s="60"/>
      <c r="R20" s="59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1"/>
      <c r="AH20" s="60"/>
      <c r="AI20" s="327" t="s">
        <v>152</v>
      </c>
      <c r="AJ20" s="328"/>
      <c r="AK20" s="328"/>
      <c r="AL20" s="328"/>
      <c r="AM20" s="328"/>
      <c r="AN20" s="328"/>
      <c r="AO20" s="328"/>
      <c r="AP20" s="328"/>
      <c r="AQ20" s="328"/>
      <c r="AR20" s="328"/>
      <c r="AS20" s="328"/>
      <c r="AT20" s="328"/>
      <c r="AU20" s="328"/>
      <c r="AV20" s="328"/>
      <c r="AW20" s="328"/>
      <c r="AX20" s="329"/>
      <c r="AY20" s="60"/>
      <c r="AZ20" s="59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1"/>
      <c r="BP20" s="52"/>
    </row>
    <row r="21" spans="1:68" s="50" customFormat="1" ht="9" customHeight="1" x14ac:dyDescent="0.25">
      <c r="A21" s="49"/>
      <c r="B21" s="59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1"/>
      <c r="Q21" s="60"/>
      <c r="R21" s="59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1"/>
      <c r="AH21" s="60"/>
      <c r="AI21" s="327" t="s">
        <v>153</v>
      </c>
      <c r="AJ21" s="328"/>
      <c r="AK21" s="328"/>
      <c r="AL21" s="328"/>
      <c r="AM21" s="328"/>
      <c r="AN21" s="328"/>
      <c r="AO21" s="328"/>
      <c r="AP21" s="328"/>
      <c r="AQ21" s="328"/>
      <c r="AR21" s="328"/>
      <c r="AS21" s="328"/>
      <c r="AT21" s="328"/>
      <c r="AU21" s="328"/>
      <c r="AV21" s="328"/>
      <c r="AW21" s="328"/>
      <c r="AX21" s="329"/>
      <c r="AY21" s="60"/>
      <c r="AZ21" s="59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1"/>
      <c r="BP21" s="52"/>
    </row>
    <row r="22" spans="1:68" s="50" customFormat="1" ht="9" customHeight="1" x14ac:dyDescent="0.25">
      <c r="A22" s="49"/>
      <c r="B22" s="59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1"/>
      <c r="Q22" s="60"/>
      <c r="R22" s="59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1"/>
      <c r="AH22" s="60"/>
      <c r="AI22" s="338" t="s">
        <v>154</v>
      </c>
      <c r="AJ22" s="339"/>
      <c r="AK22" s="339"/>
      <c r="AL22" s="339"/>
      <c r="AM22" s="339"/>
      <c r="AN22" s="339"/>
      <c r="AO22" s="339"/>
      <c r="AP22" s="339"/>
      <c r="AQ22" s="339"/>
      <c r="AR22" s="339"/>
      <c r="AS22" s="339"/>
      <c r="AT22" s="339"/>
      <c r="AU22" s="339"/>
      <c r="AV22" s="339"/>
      <c r="AW22" s="339"/>
      <c r="AX22" s="340"/>
      <c r="AY22" s="60"/>
      <c r="AZ22" s="59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1"/>
      <c r="BP22" s="52"/>
    </row>
    <row r="23" spans="1:68" s="50" customFormat="1" ht="9" customHeight="1" x14ac:dyDescent="0.25">
      <c r="A23" s="49"/>
      <c r="B23" s="59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1"/>
      <c r="Q23" s="60"/>
      <c r="R23" s="59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1"/>
      <c r="AH23" s="60"/>
      <c r="AI23" s="327"/>
      <c r="AJ23" s="328"/>
      <c r="AK23" s="328"/>
      <c r="AL23" s="328"/>
      <c r="AM23" s="328"/>
      <c r="AN23" s="328"/>
      <c r="AO23" s="328"/>
      <c r="AP23" s="328"/>
      <c r="AQ23" s="328"/>
      <c r="AR23" s="328"/>
      <c r="AS23" s="328"/>
      <c r="AT23" s="328"/>
      <c r="AU23" s="328"/>
      <c r="AV23" s="328"/>
      <c r="AW23" s="328"/>
      <c r="AX23" s="329"/>
      <c r="AY23" s="60"/>
      <c r="AZ23" s="327" t="s">
        <v>155</v>
      </c>
      <c r="BA23" s="328"/>
      <c r="BB23" s="328"/>
      <c r="BC23" s="328"/>
      <c r="BD23" s="328"/>
      <c r="BE23" s="328"/>
      <c r="BF23" s="328"/>
      <c r="BG23" s="328"/>
      <c r="BH23" s="328"/>
      <c r="BI23" s="328"/>
      <c r="BJ23" s="328"/>
      <c r="BK23" s="328"/>
      <c r="BL23" s="328"/>
      <c r="BM23" s="328"/>
      <c r="BN23" s="328"/>
      <c r="BO23" s="329"/>
      <c r="BP23" s="97"/>
    </row>
    <row r="24" spans="1:68" s="50" customFormat="1" ht="9" customHeight="1" x14ac:dyDescent="0.25">
      <c r="A24" s="49"/>
      <c r="B24" s="327" t="s">
        <v>152</v>
      </c>
      <c r="C24" s="328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9"/>
      <c r="Q24" s="60"/>
      <c r="R24" s="327" t="s">
        <v>152</v>
      </c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9"/>
      <c r="AH24" s="60"/>
      <c r="AI24" s="241" t="s">
        <v>156</v>
      </c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0">
        <f>CEILING(4067*B3,1)</f>
        <v>7728</v>
      </c>
      <c r="AW24" s="240"/>
      <c r="AX24" s="240"/>
      <c r="AY24" s="74"/>
      <c r="AZ24" s="241" t="s">
        <v>157</v>
      </c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0">
        <f>CEILING(4336*B3,1)</f>
        <v>8239</v>
      </c>
      <c r="BN24" s="240"/>
      <c r="BO24" s="240"/>
      <c r="BP24" s="97"/>
    </row>
    <row r="25" spans="1:68" s="50" customFormat="1" ht="9" customHeight="1" x14ac:dyDescent="0.25">
      <c r="A25" s="49"/>
      <c r="B25" s="241" t="s">
        <v>158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0">
        <f>CEILING(7748*B3,1)</f>
        <v>14722</v>
      </c>
      <c r="O25" s="240"/>
      <c r="P25" s="240"/>
      <c r="Q25" s="75"/>
      <c r="R25" s="241" t="s">
        <v>159</v>
      </c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0">
        <f>CEILING(8896*B3,1)</f>
        <v>16903</v>
      </c>
      <c r="AF25" s="240"/>
      <c r="AG25" s="240"/>
      <c r="AH25" s="75"/>
      <c r="AI25" s="241" t="s">
        <v>160</v>
      </c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0">
        <f>CEILING(4255*B3,1)</f>
        <v>8085</v>
      </c>
      <c r="AW25" s="240"/>
      <c r="AX25" s="240"/>
      <c r="AY25" s="75"/>
      <c r="AZ25" s="241" t="s">
        <v>161</v>
      </c>
      <c r="BA25" s="241"/>
      <c r="BB25" s="241"/>
      <c r="BC25" s="241"/>
      <c r="BD25" s="241"/>
      <c r="BE25" s="241"/>
      <c r="BF25" s="241"/>
      <c r="BG25" s="241"/>
      <c r="BH25" s="241"/>
      <c r="BI25" s="241"/>
      <c r="BJ25" s="241"/>
      <c r="BK25" s="241"/>
      <c r="BL25" s="241"/>
      <c r="BM25" s="240">
        <f>CEILING(5149*B3,1)</f>
        <v>9784</v>
      </c>
      <c r="BN25" s="240"/>
      <c r="BO25" s="240"/>
      <c r="BP25" s="97"/>
    </row>
    <row r="26" spans="1:68" s="50" customFormat="1" ht="1.5" customHeight="1" x14ac:dyDescent="0.25">
      <c r="A26" s="49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97"/>
    </row>
    <row r="27" spans="1:68" s="50" customFormat="1" ht="9" customHeight="1" x14ac:dyDescent="0.25">
      <c r="A27" s="49"/>
      <c r="B27" s="321" t="s">
        <v>162</v>
      </c>
      <c r="C27" s="322"/>
      <c r="D27" s="322"/>
      <c r="E27" s="322"/>
      <c r="F27" s="322"/>
      <c r="G27" s="322"/>
      <c r="H27" s="323"/>
      <c r="I27" s="72"/>
      <c r="J27" s="72"/>
      <c r="K27" s="72"/>
      <c r="L27" s="72"/>
      <c r="M27" s="72"/>
      <c r="N27" s="72"/>
      <c r="O27" s="72"/>
      <c r="P27" s="73"/>
      <c r="Q27" s="60"/>
      <c r="R27" s="321" t="s">
        <v>163</v>
      </c>
      <c r="S27" s="322"/>
      <c r="T27" s="322"/>
      <c r="U27" s="322"/>
      <c r="V27" s="322"/>
      <c r="W27" s="322"/>
      <c r="X27" s="322"/>
      <c r="Y27" s="323"/>
      <c r="Z27" s="72"/>
      <c r="AA27" s="72"/>
      <c r="AB27" s="72"/>
      <c r="AC27" s="72"/>
      <c r="AD27" s="72"/>
      <c r="AE27" s="72"/>
      <c r="AF27" s="72"/>
      <c r="AG27" s="73"/>
      <c r="AH27" s="60"/>
      <c r="AI27" s="326"/>
      <c r="AJ27" s="326"/>
      <c r="AK27" s="326"/>
      <c r="AL27" s="326"/>
      <c r="AM27" s="326"/>
      <c r="AN27" s="326"/>
      <c r="AO27" s="326"/>
      <c r="AP27" s="326"/>
      <c r="AQ27" s="326"/>
      <c r="AR27" s="326"/>
      <c r="AS27" s="326"/>
      <c r="AT27" s="326"/>
      <c r="AU27" s="326"/>
      <c r="AV27" s="326"/>
      <c r="AW27" s="326"/>
      <c r="AX27" s="326"/>
      <c r="AY27" s="326"/>
      <c r="AZ27" s="326"/>
      <c r="BA27" s="326"/>
      <c r="BB27" s="326"/>
      <c r="BC27" s="326"/>
      <c r="BD27" s="326"/>
      <c r="BE27" s="326"/>
      <c r="BF27" s="326"/>
      <c r="BG27" s="326"/>
      <c r="BH27" s="326"/>
      <c r="BI27" s="326"/>
      <c r="BJ27" s="326"/>
      <c r="BK27" s="326"/>
      <c r="BL27" s="326"/>
      <c r="BM27" s="326"/>
      <c r="BN27" s="326"/>
      <c r="BO27" s="326"/>
      <c r="BP27" s="97"/>
    </row>
    <row r="28" spans="1:68" s="50" customFormat="1" ht="9" customHeight="1" x14ac:dyDescent="0.25">
      <c r="A28" s="49"/>
      <c r="B28" s="59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1"/>
      <c r="Q28" s="60"/>
      <c r="R28" s="59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1"/>
      <c r="AH28" s="60"/>
      <c r="AI28" s="326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AY28" s="326"/>
      <c r="AZ28" s="326"/>
      <c r="BA28" s="326"/>
      <c r="BB28" s="326"/>
      <c r="BC28" s="326"/>
      <c r="BD28" s="326"/>
      <c r="BE28" s="326"/>
      <c r="BF28" s="326"/>
      <c r="BG28" s="326"/>
      <c r="BH28" s="326"/>
      <c r="BI28" s="326"/>
      <c r="BJ28" s="326"/>
      <c r="BK28" s="326"/>
      <c r="BL28" s="326"/>
      <c r="BM28" s="326"/>
      <c r="BN28" s="326"/>
      <c r="BO28" s="326"/>
      <c r="BP28" s="97"/>
    </row>
    <row r="29" spans="1:68" s="50" customFormat="1" ht="9" customHeight="1" x14ac:dyDescent="0.25">
      <c r="A29" s="49"/>
      <c r="B29" s="59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1"/>
      <c r="Q29" s="60"/>
      <c r="R29" s="59"/>
      <c r="S29" s="60"/>
      <c r="T29" s="60"/>
      <c r="U29" s="60"/>
      <c r="V29" s="60"/>
      <c r="W29" s="60"/>
      <c r="X29" s="115" t="s">
        <v>164</v>
      </c>
      <c r="Y29" s="60"/>
      <c r="Z29" s="60"/>
      <c r="AA29" s="60"/>
      <c r="AB29" s="60"/>
      <c r="AC29" s="60"/>
      <c r="AD29" s="60"/>
      <c r="AE29" s="60"/>
      <c r="AF29" s="60"/>
      <c r="AG29" s="61"/>
      <c r="AH29" s="60"/>
      <c r="AI29" s="326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326"/>
      <c r="AW29" s="326"/>
      <c r="AX29" s="326"/>
      <c r="AY29" s="326"/>
      <c r="AZ29" s="326"/>
      <c r="BA29" s="326"/>
      <c r="BB29" s="326"/>
      <c r="BC29" s="326"/>
      <c r="BD29" s="326"/>
      <c r="BE29" s="326"/>
      <c r="BF29" s="326"/>
      <c r="BG29" s="326"/>
      <c r="BH29" s="326"/>
      <c r="BI29" s="326"/>
      <c r="BJ29" s="326"/>
      <c r="BK29" s="326"/>
      <c r="BL29" s="326"/>
      <c r="BM29" s="326"/>
      <c r="BN29" s="326"/>
      <c r="BO29" s="326"/>
      <c r="BP29" s="97"/>
    </row>
    <row r="30" spans="1:68" s="50" customFormat="1" ht="9" customHeight="1" x14ac:dyDescent="0.25">
      <c r="A30" s="49"/>
      <c r="B30" s="59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1"/>
      <c r="Q30" s="60"/>
      <c r="R30" s="59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1"/>
      <c r="AH30" s="60"/>
      <c r="AI30" s="326"/>
      <c r="AJ30" s="326"/>
      <c r="AK30" s="326"/>
      <c r="AL30" s="326"/>
      <c r="AM30" s="326"/>
      <c r="AN30" s="326"/>
      <c r="AO30" s="326"/>
      <c r="AP30" s="326"/>
      <c r="AQ30" s="326"/>
      <c r="AR30" s="326"/>
      <c r="AS30" s="326"/>
      <c r="AT30" s="326"/>
      <c r="AU30" s="326"/>
      <c r="AV30" s="326"/>
      <c r="AW30" s="326"/>
      <c r="AX30" s="326"/>
      <c r="AY30" s="326"/>
      <c r="AZ30" s="326"/>
      <c r="BA30" s="326"/>
      <c r="BB30" s="326"/>
      <c r="BC30" s="326"/>
      <c r="BD30" s="326"/>
      <c r="BE30" s="326"/>
      <c r="BF30" s="326"/>
      <c r="BG30" s="326"/>
      <c r="BH30" s="326"/>
      <c r="BI30" s="326"/>
      <c r="BJ30" s="326"/>
      <c r="BK30" s="326"/>
      <c r="BL30" s="326"/>
      <c r="BM30" s="326"/>
      <c r="BN30" s="326"/>
      <c r="BO30" s="326"/>
      <c r="BP30" s="97"/>
    </row>
    <row r="31" spans="1:68" s="50" customFormat="1" ht="9" customHeight="1" x14ac:dyDescent="0.25">
      <c r="A31" s="49"/>
      <c r="B31" s="59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1"/>
      <c r="Q31" s="60"/>
      <c r="R31" s="59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115" t="s">
        <v>165</v>
      </c>
      <c r="AE31" s="60"/>
      <c r="AF31" s="60"/>
      <c r="AG31" s="61"/>
      <c r="AH31" s="60"/>
      <c r="AI31" s="326"/>
      <c r="AJ31" s="326"/>
      <c r="AK31" s="326"/>
      <c r="AL31" s="326"/>
      <c r="AM31" s="326"/>
      <c r="AN31" s="326"/>
      <c r="AO31" s="326"/>
      <c r="AP31" s="326"/>
      <c r="AQ31" s="326"/>
      <c r="AR31" s="326"/>
      <c r="AS31" s="326"/>
      <c r="AT31" s="326"/>
      <c r="AU31" s="326"/>
      <c r="AV31" s="326"/>
      <c r="AW31" s="326"/>
      <c r="AX31" s="326"/>
      <c r="AY31" s="326"/>
      <c r="AZ31" s="326"/>
      <c r="BA31" s="326"/>
      <c r="BB31" s="326"/>
      <c r="BC31" s="326"/>
      <c r="BD31" s="326"/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97"/>
    </row>
    <row r="32" spans="1:68" s="50" customFormat="1" ht="9" customHeight="1" x14ac:dyDescent="0.25">
      <c r="A32" s="49"/>
      <c r="B32" s="59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1"/>
      <c r="Q32" s="60"/>
      <c r="R32" s="59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1"/>
      <c r="AH32" s="60"/>
      <c r="AI32" s="326"/>
      <c r="AJ32" s="326"/>
      <c r="AK32" s="326"/>
      <c r="AL32" s="326"/>
      <c r="AM32" s="326"/>
      <c r="AN32" s="326"/>
      <c r="AO32" s="326"/>
      <c r="AP32" s="326"/>
      <c r="AQ32" s="326"/>
      <c r="AR32" s="326"/>
      <c r="AS32" s="326"/>
      <c r="AT32" s="326"/>
      <c r="AU32" s="326"/>
      <c r="AV32" s="326"/>
      <c r="AW32" s="326"/>
      <c r="AX32" s="326"/>
      <c r="AY32" s="326"/>
      <c r="AZ32" s="326"/>
      <c r="BA32" s="326"/>
      <c r="BB32" s="326"/>
      <c r="BC32" s="326"/>
      <c r="BD32" s="326"/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97"/>
    </row>
    <row r="33" spans="1:68" s="50" customFormat="1" ht="9" customHeight="1" x14ac:dyDescent="0.25">
      <c r="A33" s="49"/>
      <c r="B33" s="59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1"/>
      <c r="Q33" s="60"/>
      <c r="R33" s="59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1"/>
      <c r="AH33" s="60"/>
      <c r="AI33" s="326"/>
      <c r="AJ33" s="326"/>
      <c r="AK33" s="326"/>
      <c r="AL33" s="326"/>
      <c r="AM33" s="326"/>
      <c r="AN33" s="326"/>
      <c r="AO33" s="326"/>
      <c r="AP33" s="326"/>
      <c r="AQ33" s="326"/>
      <c r="AR33" s="326"/>
      <c r="AS33" s="326"/>
      <c r="AT33" s="326"/>
      <c r="AU33" s="326"/>
      <c r="AV33" s="326"/>
      <c r="AW33" s="326"/>
      <c r="AX33" s="326"/>
      <c r="AY33" s="326"/>
      <c r="AZ33" s="326"/>
      <c r="BA33" s="326"/>
      <c r="BB33" s="326"/>
      <c r="BC33" s="326"/>
      <c r="BD33" s="326"/>
      <c r="BE33" s="326"/>
      <c r="BF33" s="326"/>
      <c r="BG33" s="326"/>
      <c r="BH33" s="326"/>
      <c r="BI33" s="326"/>
      <c r="BJ33" s="326"/>
      <c r="BK33" s="326"/>
      <c r="BL33" s="326"/>
      <c r="BM33" s="326"/>
      <c r="BN33" s="326"/>
      <c r="BO33" s="326"/>
      <c r="BP33" s="97"/>
    </row>
    <row r="34" spans="1:68" s="50" customFormat="1" ht="9" customHeight="1" x14ac:dyDescent="0.25">
      <c r="A34" s="49"/>
      <c r="B34" s="59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1"/>
      <c r="Q34" s="60"/>
      <c r="R34" s="59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1"/>
      <c r="AH34" s="60"/>
      <c r="AI34" s="326"/>
      <c r="AJ34" s="326"/>
      <c r="AK34" s="326"/>
      <c r="AL34" s="326"/>
      <c r="AM34" s="326"/>
      <c r="AN34" s="326"/>
      <c r="AO34" s="326"/>
      <c r="AP34" s="326"/>
      <c r="AQ34" s="326"/>
      <c r="AR34" s="326"/>
      <c r="AS34" s="326"/>
      <c r="AT34" s="326"/>
      <c r="AU34" s="326"/>
      <c r="AV34" s="326"/>
      <c r="AW34" s="326"/>
      <c r="AX34" s="326"/>
      <c r="AY34" s="326"/>
      <c r="AZ34" s="326"/>
      <c r="BA34" s="326"/>
      <c r="BB34" s="326"/>
      <c r="BC34" s="326"/>
      <c r="BD34" s="326"/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52"/>
    </row>
    <row r="35" spans="1:68" s="50" customFormat="1" ht="9" customHeight="1" x14ac:dyDescent="0.25">
      <c r="A35" s="4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1"/>
      <c r="Q35" s="60"/>
      <c r="R35" s="59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1"/>
      <c r="AH35" s="60"/>
      <c r="AI35" s="326"/>
      <c r="AJ35" s="326"/>
      <c r="AK35" s="326"/>
      <c r="AL35" s="326"/>
      <c r="AM35" s="326"/>
      <c r="AN35" s="326"/>
      <c r="AO35" s="326"/>
      <c r="AP35" s="326"/>
      <c r="AQ35" s="326"/>
      <c r="AR35" s="326"/>
      <c r="AS35" s="326"/>
      <c r="AT35" s="326"/>
      <c r="AU35" s="326"/>
      <c r="AV35" s="326"/>
      <c r="AW35" s="326"/>
      <c r="AX35" s="326"/>
      <c r="AY35" s="326"/>
      <c r="AZ35" s="326"/>
      <c r="BA35" s="326"/>
      <c r="BB35" s="326"/>
      <c r="BC35" s="326"/>
      <c r="BD35" s="326"/>
      <c r="BE35" s="326"/>
      <c r="BF35" s="326"/>
      <c r="BG35" s="326"/>
      <c r="BH35" s="326"/>
      <c r="BI35" s="326"/>
      <c r="BJ35" s="326"/>
      <c r="BK35" s="326"/>
      <c r="BL35" s="326"/>
      <c r="BM35" s="326"/>
      <c r="BN35" s="326"/>
      <c r="BO35" s="326"/>
      <c r="BP35" s="52"/>
    </row>
    <row r="36" spans="1:68" s="50" customFormat="1" ht="9" customHeight="1" x14ac:dyDescent="0.25">
      <c r="A36" s="4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1"/>
      <c r="Q36" s="60"/>
      <c r="R36" s="59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1"/>
      <c r="AH36" s="60"/>
      <c r="AI36" s="326"/>
      <c r="AJ36" s="326"/>
      <c r="AK36" s="326"/>
      <c r="AL36" s="326"/>
      <c r="AM36" s="326"/>
      <c r="AN36" s="326"/>
      <c r="AO36" s="326"/>
      <c r="AP36" s="326"/>
      <c r="AQ36" s="326"/>
      <c r="AR36" s="326"/>
      <c r="AS36" s="326"/>
      <c r="AT36" s="326"/>
      <c r="AU36" s="326"/>
      <c r="AV36" s="326"/>
      <c r="AW36" s="326"/>
      <c r="AX36" s="326"/>
      <c r="AY36" s="326"/>
      <c r="AZ36" s="326"/>
      <c r="BA36" s="326"/>
      <c r="BB36" s="326"/>
      <c r="BC36" s="326"/>
      <c r="BD36" s="326"/>
      <c r="BE36" s="326"/>
      <c r="BF36" s="326"/>
      <c r="BG36" s="326"/>
      <c r="BH36" s="326"/>
      <c r="BI36" s="326"/>
      <c r="BJ36" s="326"/>
      <c r="BK36" s="326"/>
      <c r="BL36" s="326"/>
      <c r="BM36" s="326"/>
      <c r="BN36" s="326"/>
      <c r="BO36" s="326"/>
      <c r="BP36" s="52"/>
    </row>
    <row r="37" spans="1:68" s="50" customFormat="1" ht="9" customHeight="1" x14ac:dyDescent="0.25">
      <c r="A37" s="4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1"/>
      <c r="Q37" s="60"/>
      <c r="R37" s="59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1"/>
      <c r="AH37" s="60"/>
      <c r="AI37" s="326"/>
      <c r="AJ37" s="326"/>
      <c r="AK37" s="326"/>
      <c r="AL37" s="326"/>
      <c r="AM37" s="326"/>
      <c r="AN37" s="326"/>
      <c r="AO37" s="326"/>
      <c r="AP37" s="326"/>
      <c r="AQ37" s="326"/>
      <c r="AR37" s="326"/>
      <c r="AS37" s="326"/>
      <c r="AT37" s="326"/>
      <c r="AU37" s="326"/>
      <c r="AV37" s="326"/>
      <c r="AW37" s="326"/>
      <c r="AX37" s="326"/>
      <c r="AY37" s="326"/>
      <c r="AZ37" s="326"/>
      <c r="BA37" s="326"/>
      <c r="BB37" s="326"/>
      <c r="BC37" s="326"/>
      <c r="BD37" s="326"/>
      <c r="BE37" s="326"/>
      <c r="BF37" s="326"/>
      <c r="BG37" s="326"/>
      <c r="BH37" s="326"/>
      <c r="BI37" s="326"/>
      <c r="BJ37" s="326"/>
      <c r="BK37" s="326"/>
      <c r="BL37" s="326"/>
      <c r="BM37" s="326"/>
      <c r="BN37" s="326"/>
      <c r="BO37" s="326"/>
      <c r="BP37" s="97"/>
    </row>
    <row r="38" spans="1:68" s="50" customFormat="1" ht="9" customHeight="1" x14ac:dyDescent="0.25">
      <c r="A38" s="49"/>
      <c r="B38" s="327" t="s">
        <v>166</v>
      </c>
      <c r="C38" s="328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9"/>
      <c r="Q38" s="60"/>
      <c r="R38" s="59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1"/>
      <c r="AH38" s="60"/>
      <c r="AI38" s="326"/>
      <c r="AJ38" s="326"/>
      <c r="AK38" s="326"/>
      <c r="AL38" s="326"/>
      <c r="AM38" s="326"/>
      <c r="AN38" s="326"/>
      <c r="AO38" s="326"/>
      <c r="AP38" s="326"/>
      <c r="AQ38" s="326"/>
      <c r="AR38" s="326"/>
      <c r="AS38" s="326"/>
      <c r="AT38" s="326"/>
      <c r="AU38" s="326"/>
      <c r="AV38" s="326"/>
      <c r="AW38" s="326"/>
      <c r="AX38" s="326"/>
      <c r="AY38" s="326"/>
      <c r="AZ38" s="326"/>
      <c r="BA38" s="326"/>
      <c r="BB38" s="326"/>
      <c r="BC38" s="326"/>
      <c r="BD38" s="326"/>
      <c r="BE38" s="326"/>
      <c r="BF38" s="326"/>
      <c r="BG38" s="326"/>
      <c r="BH38" s="326"/>
      <c r="BI38" s="326"/>
      <c r="BJ38" s="326"/>
      <c r="BK38" s="326"/>
      <c r="BL38" s="326"/>
      <c r="BM38" s="326"/>
      <c r="BN38" s="326"/>
      <c r="BO38" s="326"/>
      <c r="BP38" s="97"/>
    </row>
    <row r="39" spans="1:68" s="50" customFormat="1" ht="9" customHeight="1" x14ac:dyDescent="0.25">
      <c r="A39" s="49"/>
      <c r="B39" s="333" t="s">
        <v>167</v>
      </c>
      <c r="C39" s="334"/>
      <c r="D39" s="334"/>
      <c r="E39" s="334"/>
      <c r="F39" s="334"/>
      <c r="G39" s="334"/>
      <c r="H39" s="334"/>
      <c r="I39" s="334"/>
      <c r="J39" s="334"/>
      <c r="K39" s="335" t="s">
        <v>11</v>
      </c>
      <c r="L39" s="336"/>
      <c r="M39" s="337"/>
      <c r="N39" s="336" t="s">
        <v>168</v>
      </c>
      <c r="O39" s="336"/>
      <c r="P39" s="337"/>
      <c r="Q39" s="60"/>
      <c r="R39" s="327" t="s">
        <v>169</v>
      </c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9"/>
      <c r="AH39" s="60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  <c r="AW39" s="326"/>
      <c r="AX39" s="326"/>
      <c r="AY39" s="326"/>
      <c r="AZ39" s="326"/>
      <c r="BA39" s="326"/>
      <c r="BB39" s="326"/>
      <c r="BC39" s="326"/>
      <c r="BD39" s="326"/>
      <c r="BE39" s="326"/>
      <c r="BF39" s="326"/>
      <c r="BG39" s="326"/>
      <c r="BH39" s="326"/>
      <c r="BI39" s="326"/>
      <c r="BJ39" s="326"/>
      <c r="BK39" s="326"/>
      <c r="BL39" s="326"/>
      <c r="BM39" s="326"/>
      <c r="BN39" s="326"/>
      <c r="BO39" s="326"/>
      <c r="BP39" s="97"/>
    </row>
    <row r="40" spans="1:68" s="50" customFormat="1" ht="9" customHeight="1" x14ac:dyDescent="0.25">
      <c r="A40" s="49"/>
      <c r="B40" s="241" t="s">
        <v>170</v>
      </c>
      <c r="C40" s="241"/>
      <c r="D40" s="241"/>
      <c r="E40" s="241"/>
      <c r="F40" s="241"/>
      <c r="G40" s="241"/>
      <c r="H40" s="241"/>
      <c r="I40" s="241"/>
      <c r="J40" s="241"/>
      <c r="K40" s="240">
        <f>CEILING(1359*B3,1)</f>
        <v>2583</v>
      </c>
      <c r="L40" s="240"/>
      <c r="M40" s="240"/>
      <c r="N40" s="240">
        <f>CEILING(1061*B3,1)</f>
        <v>2016</v>
      </c>
      <c r="O40" s="240"/>
      <c r="P40" s="240"/>
      <c r="Q40" s="60"/>
      <c r="R40" s="327" t="s">
        <v>171</v>
      </c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28"/>
      <c r="AG40" s="329"/>
      <c r="AH40" s="60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2"/>
      <c r="AU40" s="332"/>
      <c r="AV40" s="332"/>
      <c r="AW40" s="332"/>
      <c r="AX40" s="332"/>
      <c r="AY40" s="332"/>
      <c r="AZ40" s="332"/>
      <c r="BA40" s="332"/>
      <c r="BB40" s="332"/>
      <c r="BC40" s="332"/>
      <c r="BD40" s="332"/>
      <c r="BE40" s="332"/>
      <c r="BF40" s="332"/>
      <c r="BG40" s="332"/>
      <c r="BH40" s="332"/>
      <c r="BI40" s="332"/>
      <c r="BJ40" s="332"/>
      <c r="BK40" s="332"/>
      <c r="BL40" s="332"/>
      <c r="BM40" s="332"/>
      <c r="BN40" s="332"/>
      <c r="BO40" s="332"/>
      <c r="BP40" s="97"/>
    </row>
    <row r="41" spans="1:68" s="50" customFormat="1" ht="9" customHeight="1" x14ac:dyDescent="0.25">
      <c r="A41" s="49"/>
      <c r="B41" s="241" t="s">
        <v>172</v>
      </c>
      <c r="C41" s="241"/>
      <c r="D41" s="241"/>
      <c r="E41" s="241"/>
      <c r="F41" s="241"/>
      <c r="G41" s="241"/>
      <c r="H41" s="241"/>
      <c r="I41" s="241"/>
      <c r="J41" s="241"/>
      <c r="K41" s="240">
        <f>CEILING(1833*B3,1)</f>
        <v>3483</v>
      </c>
      <c r="L41" s="240"/>
      <c r="M41" s="240"/>
      <c r="N41" s="240">
        <f>CEILING(1495*B3,1)</f>
        <v>2841</v>
      </c>
      <c r="O41" s="240"/>
      <c r="P41" s="240"/>
      <c r="Q41" s="74"/>
      <c r="R41" s="241" t="s">
        <v>173</v>
      </c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0">
        <f>CEILING(2455*B3,1)</f>
        <v>4665</v>
      </c>
      <c r="AF41" s="240"/>
      <c r="AG41" s="240"/>
      <c r="AH41" s="74"/>
      <c r="AI41" s="330" t="s">
        <v>174</v>
      </c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240">
        <f>CEILING(3793*B3,1)</f>
        <v>7207</v>
      </c>
      <c r="BN41" s="240"/>
      <c r="BO41" s="240"/>
      <c r="BP41" s="97"/>
    </row>
    <row r="42" spans="1:68" s="50" customFormat="1" ht="9" customHeight="1" x14ac:dyDescent="0.25">
      <c r="A42" s="49"/>
      <c r="B42" s="241" t="s">
        <v>175</v>
      </c>
      <c r="C42" s="241"/>
      <c r="D42" s="241"/>
      <c r="E42" s="241"/>
      <c r="F42" s="241"/>
      <c r="G42" s="241"/>
      <c r="H42" s="241"/>
      <c r="I42" s="241"/>
      <c r="J42" s="241"/>
      <c r="K42" s="240">
        <f>CEILING(2580*B3,1)</f>
        <v>4902</v>
      </c>
      <c r="L42" s="240"/>
      <c r="M42" s="240"/>
      <c r="N42" s="240">
        <f>CEILING(2011*B3,1)</f>
        <v>3821</v>
      </c>
      <c r="O42" s="240"/>
      <c r="P42" s="240"/>
      <c r="Q42" s="74"/>
      <c r="R42" s="241" t="s">
        <v>176</v>
      </c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0">
        <f>CEILING(4094*B3,1)</f>
        <v>7779</v>
      </c>
      <c r="AF42" s="240"/>
      <c r="AG42" s="240"/>
      <c r="AH42" s="74"/>
      <c r="AI42" s="330" t="s">
        <v>177</v>
      </c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240">
        <f>CEILING(5149*B3,1)</f>
        <v>9784</v>
      </c>
      <c r="BN42" s="240"/>
      <c r="BO42" s="240"/>
      <c r="BP42" s="97"/>
    </row>
    <row r="43" spans="1:68" s="50" customFormat="1" ht="2.25" customHeight="1" x14ac:dyDescent="0.25">
      <c r="A43" s="49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60"/>
      <c r="BN43" s="60"/>
      <c r="BO43" s="60"/>
      <c r="BP43" s="97"/>
    </row>
    <row r="44" spans="1:68" s="50" customFormat="1" ht="9" customHeight="1" x14ac:dyDescent="0.25">
      <c r="A44" s="49"/>
      <c r="B44" s="321" t="s">
        <v>178</v>
      </c>
      <c r="C44" s="322"/>
      <c r="D44" s="322"/>
      <c r="E44" s="322"/>
      <c r="F44" s="322"/>
      <c r="G44" s="322"/>
      <c r="H44" s="323"/>
      <c r="I44" s="72"/>
      <c r="J44" s="72"/>
      <c r="K44" s="72"/>
      <c r="L44" s="72"/>
      <c r="M44" s="72"/>
      <c r="N44" s="72"/>
      <c r="O44" s="72"/>
      <c r="P44" s="73"/>
      <c r="Q44" s="60"/>
      <c r="R44" s="321" t="s">
        <v>179</v>
      </c>
      <c r="S44" s="322"/>
      <c r="T44" s="322"/>
      <c r="U44" s="322"/>
      <c r="V44" s="322"/>
      <c r="W44" s="322"/>
      <c r="X44" s="323"/>
      <c r="Y44" s="72"/>
      <c r="Z44" s="72"/>
      <c r="AA44" s="72"/>
      <c r="AB44" s="72"/>
      <c r="AC44" s="72"/>
      <c r="AD44" s="72"/>
      <c r="AE44" s="72"/>
      <c r="AF44" s="72"/>
      <c r="AG44" s="73"/>
      <c r="AH44" s="60"/>
      <c r="AI44" s="321" t="s">
        <v>180</v>
      </c>
      <c r="AJ44" s="322"/>
      <c r="AK44" s="322"/>
      <c r="AL44" s="322"/>
      <c r="AM44" s="322"/>
      <c r="AN44" s="322"/>
      <c r="AO44" s="323"/>
      <c r="AP44" s="72"/>
      <c r="AQ44" s="72"/>
      <c r="AR44" s="72"/>
      <c r="AS44" s="72"/>
      <c r="AT44" s="72"/>
      <c r="AU44" s="72"/>
      <c r="AV44" s="72"/>
      <c r="AW44" s="72"/>
      <c r="AX44" s="73"/>
      <c r="AY44" s="60"/>
      <c r="AZ44" s="321" t="s">
        <v>181</v>
      </c>
      <c r="BA44" s="322"/>
      <c r="BB44" s="322"/>
      <c r="BC44" s="322"/>
      <c r="BD44" s="322"/>
      <c r="BE44" s="322"/>
      <c r="BF44" s="323"/>
      <c r="BG44" s="72"/>
      <c r="BH44" s="72"/>
      <c r="BI44" s="72"/>
      <c r="BJ44" s="72"/>
      <c r="BK44" s="72"/>
      <c r="BL44" s="72"/>
      <c r="BM44" s="72"/>
      <c r="BN44" s="72"/>
      <c r="BO44" s="73"/>
      <c r="BP44" s="97"/>
    </row>
    <row r="45" spans="1:68" s="50" customFormat="1" ht="9" customHeight="1" x14ac:dyDescent="0.25">
      <c r="A45" s="49"/>
      <c r="B45" s="59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1"/>
      <c r="Q45" s="60"/>
      <c r="R45" s="59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1"/>
      <c r="AH45" s="60"/>
      <c r="AI45" s="59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1"/>
      <c r="AY45" s="60"/>
      <c r="AZ45" s="59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1"/>
      <c r="BP45" s="97"/>
    </row>
    <row r="46" spans="1:68" s="50" customFormat="1" ht="9" customHeight="1" x14ac:dyDescent="0.25">
      <c r="A46" s="49"/>
      <c r="B46" s="59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1"/>
      <c r="Q46" s="60"/>
      <c r="R46" s="59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1"/>
      <c r="AH46" s="60"/>
      <c r="AI46" s="59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1"/>
      <c r="AY46" s="60"/>
      <c r="AZ46" s="59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1"/>
      <c r="BP46" s="97"/>
    </row>
    <row r="47" spans="1:68" s="50" customFormat="1" ht="9" customHeight="1" x14ac:dyDescent="0.25">
      <c r="A47" s="49"/>
      <c r="B47" s="59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1"/>
      <c r="Q47" s="60"/>
      <c r="R47" s="59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1"/>
      <c r="AH47" s="60"/>
      <c r="AI47" s="59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1"/>
      <c r="AY47" s="60"/>
      <c r="AZ47" s="59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1"/>
      <c r="BP47" s="97"/>
    </row>
    <row r="48" spans="1:68" s="50" customFormat="1" ht="9" customHeight="1" x14ac:dyDescent="0.25">
      <c r="A48" s="49"/>
      <c r="B48" s="59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1"/>
      <c r="Q48" s="60"/>
      <c r="R48" s="59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1"/>
      <c r="AH48" s="60"/>
      <c r="AI48" s="59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1"/>
      <c r="AY48" s="60"/>
      <c r="AZ48" s="59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1"/>
      <c r="BP48" s="52"/>
    </row>
    <row r="49" spans="1:68" s="50" customFormat="1" ht="9" customHeight="1" x14ac:dyDescent="0.25">
      <c r="A49" s="49"/>
      <c r="B49" s="59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1"/>
      <c r="Q49" s="60"/>
      <c r="R49" s="59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1"/>
      <c r="AH49" s="60"/>
      <c r="AI49" s="59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1"/>
      <c r="AY49" s="60"/>
      <c r="AZ49" s="59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1"/>
      <c r="BP49" s="52"/>
    </row>
    <row r="50" spans="1:68" s="50" customFormat="1" ht="9" customHeight="1" x14ac:dyDescent="0.25">
      <c r="A50" s="49"/>
      <c r="B50" s="59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1"/>
      <c r="Q50" s="60"/>
      <c r="R50" s="59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1"/>
      <c r="AH50" s="60"/>
      <c r="AI50" s="59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1"/>
      <c r="AY50" s="60"/>
      <c r="AZ50" s="59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1"/>
      <c r="BP50" s="52"/>
    </row>
    <row r="51" spans="1:68" s="50" customFormat="1" ht="9" customHeight="1" x14ac:dyDescent="0.25">
      <c r="A51" s="49"/>
      <c r="B51" s="59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1"/>
      <c r="Q51" s="60"/>
      <c r="R51" s="59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1"/>
      <c r="AH51" s="60"/>
      <c r="AI51" s="59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1"/>
      <c r="AY51" s="60"/>
      <c r="AZ51" s="59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1"/>
      <c r="BP51" s="97"/>
    </row>
    <row r="52" spans="1:68" s="50" customFormat="1" ht="9" customHeight="1" x14ac:dyDescent="0.25">
      <c r="A52" s="49"/>
      <c r="B52" s="59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1"/>
      <c r="Q52" s="60"/>
      <c r="R52" s="59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1"/>
      <c r="AH52" s="60"/>
      <c r="AI52" s="59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1"/>
      <c r="AY52" s="60"/>
      <c r="AZ52" s="59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1"/>
      <c r="BP52" s="97"/>
    </row>
    <row r="53" spans="1:68" s="50" customFormat="1" ht="9" customHeight="1" x14ac:dyDescent="0.25">
      <c r="A53" s="49"/>
      <c r="B53" s="59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1"/>
      <c r="Q53" s="60"/>
      <c r="R53" s="59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1"/>
      <c r="AH53" s="60"/>
      <c r="AI53" s="59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1"/>
      <c r="AY53" s="60"/>
      <c r="AZ53" s="59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1"/>
      <c r="BP53" s="97"/>
    </row>
    <row r="54" spans="1:68" s="50" customFormat="1" ht="9" customHeight="1" x14ac:dyDescent="0.25">
      <c r="A54" s="49"/>
      <c r="B54" s="59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1"/>
      <c r="Q54" s="60"/>
      <c r="R54" s="59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1"/>
      <c r="AH54" s="60"/>
      <c r="AI54" s="59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1"/>
      <c r="AY54" s="60"/>
      <c r="AZ54" s="59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1"/>
      <c r="BP54" s="97"/>
    </row>
    <row r="55" spans="1:68" s="50" customFormat="1" ht="9" customHeight="1" x14ac:dyDescent="0.25">
      <c r="A55" s="49"/>
      <c r="B55" s="59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1"/>
      <c r="Q55" s="60"/>
      <c r="R55" s="59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1"/>
      <c r="AH55" s="60"/>
      <c r="AI55" s="59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1"/>
      <c r="AY55" s="60"/>
      <c r="AZ55" s="59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1"/>
      <c r="BP55" s="97"/>
    </row>
    <row r="56" spans="1:68" s="50" customFormat="1" ht="9" customHeight="1" x14ac:dyDescent="0.25">
      <c r="A56" s="49"/>
      <c r="B56" s="54" t="s">
        <v>182</v>
      </c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6"/>
      <c r="Q56" s="60"/>
      <c r="R56" s="327" t="s">
        <v>166</v>
      </c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9"/>
      <c r="AH56" s="60"/>
      <c r="AI56" s="117" t="s">
        <v>166</v>
      </c>
      <c r="AJ56" s="115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1"/>
      <c r="AY56" s="60"/>
      <c r="AZ56" s="59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1"/>
      <c r="BP56" s="97"/>
    </row>
    <row r="57" spans="1:68" s="50" customFormat="1" ht="9" customHeight="1" x14ac:dyDescent="0.25">
      <c r="A57" s="49"/>
      <c r="B57" s="241" t="s">
        <v>183</v>
      </c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0">
        <f>CEILING(2115*B3,1)</f>
        <v>4019</v>
      </c>
      <c r="O57" s="240"/>
      <c r="P57" s="240"/>
      <c r="Q57" s="74"/>
      <c r="R57" s="241" t="s">
        <v>184</v>
      </c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0">
        <f>CEILING(2943*B3,1)</f>
        <v>5592</v>
      </c>
      <c r="AF57" s="240"/>
      <c r="AG57" s="240"/>
      <c r="AH57" s="118"/>
      <c r="AI57" s="331" t="s">
        <v>183</v>
      </c>
      <c r="AJ57" s="331"/>
      <c r="AK57" s="331"/>
      <c r="AL57" s="331"/>
      <c r="AM57" s="331"/>
      <c r="AN57" s="331"/>
      <c r="AO57" s="331"/>
      <c r="AP57" s="331"/>
      <c r="AQ57" s="331"/>
      <c r="AR57" s="331"/>
      <c r="AS57" s="331"/>
      <c r="AT57" s="331"/>
      <c r="AU57" s="331"/>
      <c r="AV57" s="240">
        <f>CEILING(3471*B3,1)</f>
        <v>6595</v>
      </c>
      <c r="AW57" s="240"/>
      <c r="AX57" s="240"/>
      <c r="AY57" s="66"/>
      <c r="AZ57" s="119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120"/>
      <c r="BP57" s="97"/>
    </row>
    <row r="58" spans="1:68" s="50" customFormat="1" ht="9" customHeight="1" x14ac:dyDescent="0.25">
      <c r="A58" s="49"/>
      <c r="B58" s="241" t="s">
        <v>185</v>
      </c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0">
        <f>CEILING(3038*B3,1)</f>
        <v>5773</v>
      </c>
      <c r="O58" s="240"/>
      <c r="P58" s="240"/>
      <c r="Q58" s="74"/>
      <c r="R58" s="241" t="s">
        <v>186</v>
      </c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0">
        <f>CEILING(3864*B3,1)</f>
        <v>7342</v>
      </c>
      <c r="AF58" s="240"/>
      <c r="AG58" s="240"/>
      <c r="AH58" s="118"/>
      <c r="AI58" s="331" t="s">
        <v>185</v>
      </c>
      <c r="AJ58" s="331"/>
      <c r="AK58" s="331"/>
      <c r="AL58" s="331"/>
      <c r="AM58" s="331"/>
      <c r="AN58" s="331"/>
      <c r="AO58" s="331"/>
      <c r="AP58" s="331"/>
      <c r="AQ58" s="331"/>
      <c r="AR58" s="331"/>
      <c r="AS58" s="331"/>
      <c r="AT58" s="331"/>
      <c r="AU58" s="331"/>
      <c r="AV58" s="240">
        <f>CEILING(4013*B3,1)</f>
        <v>7625</v>
      </c>
      <c r="AW58" s="240"/>
      <c r="AX58" s="240"/>
      <c r="AY58" s="66"/>
      <c r="AZ58" s="327" t="s">
        <v>187</v>
      </c>
      <c r="BA58" s="328"/>
      <c r="BB58" s="328"/>
      <c r="BC58" s="328"/>
      <c r="BD58" s="328"/>
      <c r="BE58" s="328"/>
      <c r="BF58" s="328"/>
      <c r="BG58" s="328"/>
      <c r="BH58" s="328"/>
      <c r="BI58" s="328"/>
      <c r="BJ58" s="328"/>
      <c r="BK58" s="328"/>
      <c r="BL58" s="328"/>
      <c r="BM58" s="328"/>
      <c r="BN58" s="328"/>
      <c r="BO58" s="329"/>
      <c r="BP58" s="97"/>
    </row>
    <row r="59" spans="1:68" s="50" customFormat="1" ht="9" customHeight="1" x14ac:dyDescent="0.25">
      <c r="A59" s="49"/>
      <c r="B59" s="241" t="s">
        <v>188</v>
      </c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0">
        <f>CEILING(3877*B3,1)</f>
        <v>7367</v>
      </c>
      <c r="O59" s="240"/>
      <c r="P59" s="240"/>
      <c r="Q59" s="74"/>
      <c r="R59" s="241" t="s">
        <v>189</v>
      </c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0">
        <f>CEILING(4715*B3,1)</f>
        <v>8959</v>
      </c>
      <c r="AF59" s="240"/>
      <c r="AG59" s="240"/>
      <c r="AH59" s="118"/>
      <c r="AI59" s="331" t="s">
        <v>190</v>
      </c>
      <c r="AJ59" s="331"/>
      <c r="AK59" s="331"/>
      <c r="AL59" s="331"/>
      <c r="AM59" s="331"/>
      <c r="AN59" s="331"/>
      <c r="AO59" s="331"/>
      <c r="AP59" s="331"/>
      <c r="AQ59" s="331"/>
      <c r="AR59" s="331"/>
      <c r="AS59" s="331"/>
      <c r="AT59" s="331"/>
      <c r="AU59" s="331"/>
      <c r="AV59" s="240">
        <f>CEILING(4484*B3,1)</f>
        <v>8520</v>
      </c>
      <c r="AW59" s="240"/>
      <c r="AX59" s="240"/>
      <c r="AY59" s="66"/>
      <c r="AZ59" s="241" t="s">
        <v>191</v>
      </c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0">
        <f>CEILING(10159*B3,1)</f>
        <v>19303</v>
      </c>
      <c r="BN59" s="240"/>
      <c r="BO59" s="240"/>
      <c r="BP59" s="97"/>
    </row>
    <row r="60" spans="1:68" s="50" customFormat="1" ht="1.5" customHeight="1" x14ac:dyDescent="0.25">
      <c r="A60" s="49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97"/>
    </row>
    <row r="61" spans="1:68" s="50" customFormat="1" ht="9" customHeight="1" x14ac:dyDescent="0.25">
      <c r="A61" s="49"/>
      <c r="B61" s="321" t="s">
        <v>192</v>
      </c>
      <c r="C61" s="322"/>
      <c r="D61" s="322"/>
      <c r="E61" s="322"/>
      <c r="F61" s="322"/>
      <c r="G61" s="322"/>
      <c r="H61" s="323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3"/>
      <c r="W61" s="60"/>
      <c r="X61" s="321" t="s">
        <v>193</v>
      </c>
      <c r="Y61" s="322"/>
      <c r="Z61" s="322"/>
      <c r="AA61" s="322"/>
      <c r="AB61" s="322"/>
      <c r="AC61" s="322"/>
      <c r="AD61" s="323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3"/>
      <c r="AT61" s="60"/>
      <c r="AU61" s="321" t="s">
        <v>194</v>
      </c>
      <c r="AV61" s="322"/>
      <c r="AW61" s="322"/>
      <c r="AX61" s="322"/>
      <c r="AY61" s="322"/>
      <c r="AZ61" s="322"/>
      <c r="BA61" s="322"/>
      <c r="BB61" s="323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3"/>
      <c r="BP61" s="97"/>
    </row>
    <row r="62" spans="1:68" s="50" customFormat="1" ht="9" customHeight="1" x14ac:dyDescent="0.25">
      <c r="A62" s="49"/>
      <c r="B62" s="59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1"/>
      <c r="W62" s="60"/>
      <c r="X62" s="59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1"/>
      <c r="AT62" s="60"/>
      <c r="AU62" s="59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1"/>
      <c r="BP62" s="52"/>
    </row>
    <row r="63" spans="1:68" s="50" customFormat="1" ht="9" customHeight="1" x14ac:dyDescent="0.25">
      <c r="A63" s="49"/>
      <c r="B63" s="59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1"/>
      <c r="W63" s="60"/>
      <c r="X63" s="59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1"/>
      <c r="AT63" s="60"/>
      <c r="AU63" s="59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1"/>
      <c r="BP63" s="52"/>
    </row>
    <row r="64" spans="1:68" s="50" customFormat="1" ht="9" customHeight="1" x14ac:dyDescent="0.25">
      <c r="A64" s="49"/>
      <c r="B64" s="59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1"/>
      <c r="W64" s="60"/>
      <c r="X64" s="59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1"/>
      <c r="AT64" s="60"/>
      <c r="AU64" s="59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1"/>
      <c r="BP64" s="52"/>
    </row>
    <row r="65" spans="1:68" s="50" customFormat="1" ht="9" customHeight="1" x14ac:dyDescent="0.25">
      <c r="A65" s="49"/>
      <c r="B65" s="59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1"/>
      <c r="W65" s="60"/>
      <c r="X65" s="59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1"/>
      <c r="AT65" s="60"/>
      <c r="AU65" s="59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1"/>
      <c r="BP65" s="97"/>
    </row>
    <row r="66" spans="1:68" s="50" customFormat="1" ht="9" customHeight="1" x14ac:dyDescent="0.25">
      <c r="A66" s="49"/>
      <c r="B66" s="59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1"/>
      <c r="W66" s="60"/>
      <c r="X66" s="59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1"/>
      <c r="AT66" s="60"/>
      <c r="AU66" s="59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1"/>
      <c r="BP66" s="97"/>
    </row>
    <row r="67" spans="1:68" s="50" customFormat="1" ht="9" customHeight="1" x14ac:dyDescent="0.25">
      <c r="A67" s="49"/>
      <c r="B67" s="59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1"/>
      <c r="W67" s="60"/>
      <c r="X67" s="59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1"/>
      <c r="AT67" s="60"/>
      <c r="AU67" s="59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1"/>
      <c r="BP67" s="97"/>
    </row>
    <row r="68" spans="1:68" s="50" customFormat="1" ht="9" customHeight="1" x14ac:dyDescent="0.25">
      <c r="A68" s="49"/>
      <c r="B68" s="59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1"/>
      <c r="W68" s="60"/>
      <c r="X68" s="59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1"/>
      <c r="AT68" s="60"/>
      <c r="AU68" s="59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1"/>
      <c r="BP68" s="97"/>
    </row>
    <row r="69" spans="1:68" s="50" customFormat="1" ht="9" customHeight="1" x14ac:dyDescent="0.25">
      <c r="A69" s="4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1"/>
      <c r="W69" s="60"/>
      <c r="X69" s="59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1"/>
      <c r="AT69" s="60"/>
      <c r="AU69" s="59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1"/>
      <c r="BP69" s="97"/>
    </row>
    <row r="70" spans="1:68" s="50" customFormat="1" ht="9" customHeight="1" x14ac:dyDescent="0.25">
      <c r="A70" s="49"/>
      <c r="B70" s="59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1"/>
      <c r="W70" s="60"/>
      <c r="X70" s="59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1"/>
      <c r="AT70" s="60"/>
      <c r="AU70" s="59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1"/>
      <c r="BP70" s="97"/>
    </row>
    <row r="71" spans="1:68" s="50" customFormat="1" ht="9" customHeight="1" x14ac:dyDescent="0.25">
      <c r="A71" s="49"/>
      <c r="B71" s="59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1"/>
      <c r="W71" s="60"/>
      <c r="X71" s="59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1"/>
      <c r="AT71" s="60"/>
      <c r="AU71" s="59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1"/>
      <c r="BP71" s="97"/>
    </row>
    <row r="72" spans="1:68" s="50" customFormat="1" ht="9" customHeight="1" x14ac:dyDescent="0.25">
      <c r="A72" s="49"/>
      <c r="B72" s="59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1"/>
      <c r="W72" s="60"/>
      <c r="X72" s="59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1"/>
      <c r="AT72" s="60"/>
      <c r="AU72" s="59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1"/>
      <c r="BP72" s="97"/>
    </row>
    <row r="73" spans="1:68" s="50" customFormat="1" ht="9" customHeight="1" x14ac:dyDescent="0.25">
      <c r="A73" s="49"/>
      <c r="B73" s="59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1"/>
      <c r="W73" s="60"/>
      <c r="X73" s="59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1"/>
      <c r="AT73" s="60"/>
      <c r="AU73" s="59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1"/>
      <c r="BP73" s="97"/>
    </row>
    <row r="74" spans="1:68" s="50" customFormat="1" ht="9" customHeight="1" x14ac:dyDescent="0.25">
      <c r="A74" s="49"/>
      <c r="B74" s="59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1"/>
      <c r="W74" s="60"/>
      <c r="X74" s="59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1"/>
      <c r="AT74" s="60"/>
      <c r="AU74" s="59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1"/>
      <c r="BP74" s="97"/>
    </row>
    <row r="75" spans="1:68" s="50" customFormat="1" ht="9" customHeight="1" x14ac:dyDescent="0.25">
      <c r="A75" s="49"/>
      <c r="B75" s="59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1"/>
      <c r="W75" s="60"/>
      <c r="X75" s="59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1"/>
      <c r="AT75" s="60"/>
      <c r="AU75" s="59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1"/>
      <c r="BP75" s="97"/>
    </row>
    <row r="76" spans="1:68" s="50" customFormat="1" ht="9" customHeight="1" x14ac:dyDescent="0.2">
      <c r="A76" s="49"/>
      <c r="B76" s="327" t="s">
        <v>187</v>
      </c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9"/>
      <c r="W76" s="66"/>
      <c r="X76" s="327" t="s">
        <v>187</v>
      </c>
      <c r="Y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  <c r="AO76" s="328"/>
      <c r="AP76" s="328"/>
      <c r="AQ76" s="328"/>
      <c r="AR76" s="328"/>
      <c r="AS76" s="329"/>
      <c r="AT76" s="66"/>
      <c r="AU76" s="327" t="s">
        <v>187</v>
      </c>
      <c r="AV76" s="328"/>
      <c r="AW76" s="328"/>
      <c r="AX76" s="328"/>
      <c r="AY76" s="328"/>
      <c r="AZ76" s="328"/>
      <c r="BA76" s="328"/>
      <c r="BB76" s="328"/>
      <c r="BC76" s="328"/>
      <c r="BD76" s="328"/>
      <c r="BE76" s="328"/>
      <c r="BF76" s="328"/>
      <c r="BG76" s="328"/>
      <c r="BH76" s="328"/>
      <c r="BI76" s="328"/>
      <c r="BJ76" s="328"/>
      <c r="BK76" s="328"/>
      <c r="BL76" s="328"/>
      <c r="BM76" s="328"/>
      <c r="BN76" s="328"/>
      <c r="BO76" s="329"/>
      <c r="BP76" s="52"/>
    </row>
    <row r="77" spans="1:68" s="50" customFormat="1" ht="9" customHeight="1" x14ac:dyDescent="0.2">
      <c r="A77" s="49"/>
      <c r="B77" s="241" t="s">
        <v>195</v>
      </c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0">
        <f>CEILING(14696*B3,1)</f>
        <v>27923</v>
      </c>
      <c r="U77" s="240"/>
      <c r="V77" s="240"/>
      <c r="W77" s="67"/>
      <c r="X77" s="241" t="s">
        <v>196</v>
      </c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0">
        <f>CEILING(12732*B3,1)</f>
        <v>24191</v>
      </c>
      <c r="AR77" s="240"/>
      <c r="AS77" s="240"/>
      <c r="AT77" s="121"/>
      <c r="AU77" s="241" t="s">
        <v>197</v>
      </c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0">
        <f>CEILING(10688*B3,1)</f>
        <v>20308</v>
      </c>
      <c r="BN77" s="240"/>
      <c r="BO77" s="240"/>
      <c r="BP77" s="97"/>
    </row>
    <row r="78" spans="1:68" s="50" customFormat="1" ht="1.5" customHeight="1" x14ac:dyDescent="0.25">
      <c r="A78" s="49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>
        <v>71</v>
      </c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6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52"/>
    </row>
    <row r="79" spans="1:68" s="50" customFormat="1" ht="9" customHeight="1" x14ac:dyDescent="0.25">
      <c r="A79" s="49"/>
      <c r="B79" s="321" t="s">
        <v>198</v>
      </c>
      <c r="C79" s="322"/>
      <c r="D79" s="322"/>
      <c r="E79" s="322"/>
      <c r="F79" s="322"/>
      <c r="G79" s="322"/>
      <c r="H79" s="323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3"/>
      <c r="W79" s="60"/>
      <c r="X79" s="321" t="s">
        <v>199</v>
      </c>
      <c r="Y79" s="322"/>
      <c r="Z79" s="322"/>
      <c r="AA79" s="322"/>
      <c r="AB79" s="322"/>
      <c r="AC79" s="322"/>
      <c r="AD79" s="323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324"/>
      <c r="AU79" s="326" t="s">
        <v>200</v>
      </c>
      <c r="AV79" s="326"/>
      <c r="AW79" s="326"/>
      <c r="AX79" s="326"/>
      <c r="AY79" s="326"/>
      <c r="AZ79" s="326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10"/>
      <c r="BP79" s="97"/>
    </row>
    <row r="80" spans="1:68" s="50" customFormat="1" ht="9" customHeight="1" x14ac:dyDescent="0.25">
      <c r="A80" s="49"/>
      <c r="B80" s="59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1"/>
      <c r="W80" s="60"/>
      <c r="X80" s="122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325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4"/>
      <c r="BP80" s="97"/>
    </row>
    <row r="81" spans="1:68" s="50" customFormat="1" ht="9" customHeight="1" x14ac:dyDescent="0.25">
      <c r="A81" s="49"/>
      <c r="B81" s="59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1"/>
      <c r="W81" s="60"/>
      <c r="X81" s="122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325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4"/>
      <c r="BP81" s="97"/>
    </row>
    <row r="82" spans="1:68" s="50" customFormat="1" ht="9" customHeight="1" x14ac:dyDescent="0.25">
      <c r="A82" s="49"/>
      <c r="B82" s="59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1"/>
      <c r="W82" s="60"/>
      <c r="X82" s="122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325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4"/>
      <c r="BP82" s="97"/>
    </row>
    <row r="83" spans="1:68" s="50" customFormat="1" ht="9" customHeight="1" x14ac:dyDescent="0.25">
      <c r="A83" s="49"/>
      <c r="B83" s="59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1"/>
      <c r="W83" s="60"/>
      <c r="X83" s="122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325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4"/>
      <c r="BP83" s="97"/>
    </row>
    <row r="84" spans="1:68" s="50" customFormat="1" ht="9" customHeight="1" x14ac:dyDescent="0.25">
      <c r="A84" s="49"/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1"/>
      <c r="W84" s="60"/>
      <c r="X84" s="122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325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4"/>
      <c r="BP84" s="97"/>
    </row>
    <row r="85" spans="1:68" s="50" customFormat="1" ht="9" customHeight="1" x14ac:dyDescent="0.25">
      <c r="A85" s="49"/>
      <c r="B85" s="59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1"/>
      <c r="W85" s="60"/>
      <c r="X85" s="122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325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4"/>
      <c r="BP85" s="97"/>
    </row>
    <row r="86" spans="1:68" s="50" customFormat="1" ht="9" customHeight="1" x14ac:dyDescent="0.25">
      <c r="A86" s="49"/>
      <c r="B86" s="59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1"/>
      <c r="W86" s="60"/>
      <c r="X86" s="122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325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4"/>
      <c r="BP86" s="97"/>
    </row>
    <row r="87" spans="1:68" s="50" customFormat="1" ht="9" customHeight="1" x14ac:dyDescent="0.25">
      <c r="A87" s="49"/>
      <c r="B87" s="59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1"/>
      <c r="W87" s="60"/>
      <c r="X87" s="122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325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4"/>
      <c r="BP87" s="97"/>
    </row>
    <row r="88" spans="1:68" s="50" customFormat="1" ht="9" customHeight="1" x14ac:dyDescent="0.25">
      <c r="A88" s="49"/>
      <c r="B88" s="59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1"/>
      <c r="W88" s="60"/>
      <c r="X88" s="122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325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4"/>
      <c r="BP88" s="97"/>
    </row>
    <row r="89" spans="1:68" s="50" customFormat="1" ht="9" customHeight="1" x14ac:dyDescent="0.25">
      <c r="A89" s="49"/>
      <c r="B89" s="59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1"/>
      <c r="W89" s="60"/>
      <c r="X89" s="122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325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4"/>
      <c r="BP89" s="97"/>
    </row>
    <row r="90" spans="1:68" s="50" customFormat="1" ht="9" customHeight="1" x14ac:dyDescent="0.25">
      <c r="A90" s="49"/>
      <c r="B90" s="59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1"/>
      <c r="W90" s="60"/>
      <c r="X90" s="122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325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4"/>
      <c r="BP90" s="97"/>
    </row>
    <row r="91" spans="1:68" s="50" customFormat="1" ht="9" customHeight="1" x14ac:dyDescent="0.25">
      <c r="A91" s="49"/>
      <c r="B91" s="59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1"/>
      <c r="W91" s="60"/>
      <c r="X91" s="122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325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4"/>
      <c r="BP91" s="97"/>
    </row>
    <row r="92" spans="1:68" s="50" customFormat="1" ht="9" customHeight="1" x14ac:dyDescent="0.25">
      <c r="A92" s="49"/>
      <c r="B92" s="59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1"/>
      <c r="W92" s="60"/>
      <c r="X92" s="122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325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4"/>
      <c r="BP92" s="97"/>
    </row>
    <row r="93" spans="1:68" s="50" customFormat="1" ht="9" customHeight="1" x14ac:dyDescent="0.25">
      <c r="A93" s="49"/>
      <c r="B93" s="59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1"/>
      <c r="W93" s="60"/>
      <c r="X93" s="122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325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4"/>
      <c r="BP93" s="97"/>
    </row>
    <row r="94" spans="1:68" s="50" customFormat="1" ht="9" customHeight="1" x14ac:dyDescent="0.25">
      <c r="A94" s="49"/>
      <c r="B94" s="327" t="s">
        <v>187</v>
      </c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9"/>
      <c r="W94" s="60"/>
      <c r="X94" s="122" t="s">
        <v>187</v>
      </c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325"/>
      <c r="AU94" s="123" t="s">
        <v>187</v>
      </c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4"/>
      <c r="BP94" s="97"/>
    </row>
    <row r="95" spans="1:68" s="50" customFormat="1" ht="9" customHeight="1" x14ac:dyDescent="0.25">
      <c r="A95" s="49"/>
      <c r="B95" s="241" t="s">
        <v>201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0">
        <f>CEILING(11582*B3,1)</f>
        <v>22006</v>
      </c>
      <c r="U95" s="240"/>
      <c r="V95" s="240"/>
      <c r="W95" s="75"/>
      <c r="X95" s="241" t="s">
        <v>202</v>
      </c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0">
        <f>CEILING(13614*B3,1)</f>
        <v>25867</v>
      </c>
      <c r="AP95" s="240"/>
      <c r="AQ95" s="240"/>
      <c r="AR95" s="240"/>
      <c r="AS95" s="240"/>
      <c r="AT95" s="121"/>
      <c r="AU95" s="241" t="s">
        <v>203</v>
      </c>
      <c r="AV95" s="241"/>
      <c r="AW95" s="241"/>
      <c r="AX95" s="241"/>
      <c r="AY95" s="241"/>
      <c r="AZ95" s="241"/>
      <c r="BA95" s="241"/>
      <c r="BB95" s="241"/>
      <c r="BC95" s="241"/>
      <c r="BD95" s="241"/>
      <c r="BE95" s="241"/>
      <c r="BF95" s="241"/>
      <c r="BG95" s="241"/>
      <c r="BH95" s="241"/>
      <c r="BI95" s="241"/>
      <c r="BJ95" s="241"/>
      <c r="BK95" s="241"/>
      <c r="BL95" s="241"/>
      <c r="BM95" s="240">
        <f>CEILING(21938*B3,1)</f>
        <v>41683</v>
      </c>
      <c r="BN95" s="240"/>
      <c r="BO95" s="240"/>
      <c r="BP95" s="52"/>
    </row>
    <row r="96" spans="1:68" s="6" customFormat="1" ht="13.5" customHeight="1" x14ac:dyDescent="0.25">
      <c r="B96" s="7" t="s">
        <v>7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</row>
    <row r="97" spans="2:53" s="6" customFormat="1" ht="69.95" customHeight="1" x14ac:dyDescent="0.25">
      <c r="B97" s="17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7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7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3"/>
    </row>
    <row r="98" spans="2:53" s="6" customFormat="1" ht="69.95" customHeight="1" x14ac:dyDescent="0.25">
      <c r="B98" s="18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18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18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14"/>
    </row>
    <row r="99" spans="2:53" s="6" customFormat="1" ht="69.95" customHeight="1" x14ac:dyDescent="0.25">
      <c r="B99" s="18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18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18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14"/>
    </row>
    <row r="100" spans="2:53" s="6" customFormat="1" ht="69.95" customHeight="1" x14ac:dyDescent="0.25">
      <c r="B100" s="18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18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18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14"/>
    </row>
    <row r="101" spans="2:53" s="6" customFormat="1" ht="69.95" customHeight="1" x14ac:dyDescent="0.25">
      <c r="B101" s="18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17"/>
      <c r="T101" s="12"/>
      <c r="U101" s="12"/>
      <c r="V101" s="12"/>
      <c r="W101" s="12"/>
      <c r="X101" s="12"/>
      <c r="Y101" s="12"/>
      <c r="Z101" s="12"/>
      <c r="AA101" s="22" t="s">
        <v>8</v>
      </c>
      <c r="AB101" s="12"/>
      <c r="AC101" s="12"/>
      <c r="AD101" s="12"/>
      <c r="AE101" s="12"/>
      <c r="AF101" s="12"/>
      <c r="AG101" s="12"/>
      <c r="AH101" s="12"/>
      <c r="AI101" s="2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1"/>
      <c r="AZ101" s="11"/>
      <c r="BA101" s="21"/>
    </row>
    <row r="102" spans="2:53" s="6" customFormat="1" ht="69.95" customHeight="1" x14ac:dyDescent="0.25">
      <c r="B102" s="19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9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6"/>
      <c r="AZ102" s="16"/>
      <c r="BA102" s="20"/>
    </row>
    <row r="103" spans="2:53" ht="9" customHeight="1" x14ac:dyDescent="0.25"/>
    <row r="104" spans="2:53" ht="9" customHeight="1" x14ac:dyDescent="0.25"/>
    <row r="105" spans="2:53" ht="9" customHeight="1" x14ac:dyDescent="0.25"/>
    <row r="106" spans="2:53" ht="9" customHeight="1" x14ac:dyDescent="0.25"/>
    <row r="107" spans="2:53" ht="9" customHeight="1" x14ac:dyDescent="0.25"/>
    <row r="108" spans="2:53" ht="9" customHeight="1" x14ac:dyDescent="0.25"/>
    <row r="109" spans="2:53" ht="9" customHeight="1" x14ac:dyDescent="0.25"/>
    <row r="110" spans="2:53" ht="9" customHeight="1" x14ac:dyDescent="0.25"/>
    <row r="111" spans="2:53" ht="9" customHeight="1" x14ac:dyDescent="0.25"/>
    <row r="112" spans="2:53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  <row r="269" ht="9" customHeight="1" x14ac:dyDescent="0.25"/>
    <row r="270" ht="9" customHeight="1" x14ac:dyDescent="0.25"/>
    <row r="271" ht="9" customHeight="1" x14ac:dyDescent="0.25"/>
    <row r="272" ht="9" customHeight="1" x14ac:dyDescent="0.25"/>
    <row r="273" ht="9" customHeight="1" x14ac:dyDescent="0.25"/>
    <row r="274" ht="9" customHeight="1" x14ac:dyDescent="0.25"/>
    <row r="275" ht="9" customHeight="1" x14ac:dyDescent="0.25"/>
    <row r="276" ht="9" customHeight="1" x14ac:dyDescent="0.25"/>
    <row r="277" ht="9" customHeight="1" x14ac:dyDescent="0.25"/>
    <row r="278" ht="9" customHeight="1" x14ac:dyDescent="0.25"/>
    <row r="279" ht="9" customHeight="1" x14ac:dyDescent="0.25"/>
    <row r="280" ht="9" customHeight="1" x14ac:dyDescent="0.25"/>
    <row r="281" ht="9" customHeight="1" x14ac:dyDescent="0.25"/>
    <row r="282" ht="9" customHeight="1" x14ac:dyDescent="0.25"/>
    <row r="283" ht="9" customHeight="1" x14ac:dyDescent="0.25"/>
    <row r="284" ht="9" customHeight="1" x14ac:dyDescent="0.25"/>
    <row r="285" ht="9" customHeight="1" x14ac:dyDescent="0.25"/>
    <row r="286" ht="9" customHeight="1" x14ac:dyDescent="0.25"/>
    <row r="287" ht="9" customHeight="1" x14ac:dyDescent="0.25"/>
    <row r="288" ht="9" customHeight="1" x14ac:dyDescent="0.25"/>
    <row r="289" ht="9" customHeight="1" x14ac:dyDescent="0.25"/>
    <row r="290" ht="9" customHeight="1" x14ac:dyDescent="0.25"/>
    <row r="291" ht="9" customHeight="1" x14ac:dyDescent="0.25"/>
    <row r="292" ht="9" customHeight="1" x14ac:dyDescent="0.25"/>
  </sheetData>
  <mergeCells count="104">
    <mergeCell ref="B7:BO7"/>
    <mergeCell ref="B8:H8"/>
    <mergeCell ref="R8:Y8"/>
    <mergeCell ref="AI8:AO8"/>
    <mergeCell ref="AZ8:BF8"/>
    <mergeCell ref="AI20:AX20"/>
    <mergeCell ref="B3:P3"/>
    <mergeCell ref="R3:BO3"/>
    <mergeCell ref="AI21:AX21"/>
    <mergeCell ref="AI22:AX22"/>
    <mergeCell ref="AI23:AX23"/>
    <mergeCell ref="AZ23:BO23"/>
    <mergeCell ref="B24:P24"/>
    <mergeCell ref="R24:AG24"/>
    <mergeCell ref="AI24:AU24"/>
    <mergeCell ref="AV24:AX24"/>
    <mergeCell ref="AZ24:BL24"/>
    <mergeCell ref="BM24:BO24"/>
    <mergeCell ref="AZ25:BL25"/>
    <mergeCell ref="BM25:BO25"/>
    <mergeCell ref="B27:H27"/>
    <mergeCell ref="R27:Y27"/>
    <mergeCell ref="AI27:BO40"/>
    <mergeCell ref="B38:P38"/>
    <mergeCell ref="B39:J39"/>
    <mergeCell ref="K39:M39"/>
    <mergeCell ref="N39:P39"/>
    <mergeCell ref="R39:AG39"/>
    <mergeCell ref="B25:M25"/>
    <mergeCell ref="N25:P25"/>
    <mergeCell ref="R25:AD25"/>
    <mergeCell ref="AE25:AG25"/>
    <mergeCell ref="AI25:AU25"/>
    <mergeCell ref="AV25:AX25"/>
    <mergeCell ref="B40:J40"/>
    <mergeCell ref="K40:M40"/>
    <mergeCell ref="N40:P40"/>
    <mergeCell ref="R40:AG40"/>
    <mergeCell ref="X76:AS76"/>
    <mergeCell ref="AU76:BO76"/>
    <mergeCell ref="AZ58:BO58"/>
    <mergeCell ref="B59:M59"/>
    <mergeCell ref="N59:P59"/>
    <mergeCell ref="R59:AD59"/>
    <mergeCell ref="AE59:AG59"/>
    <mergeCell ref="AI59:AU59"/>
    <mergeCell ref="AV59:AX59"/>
    <mergeCell ref="AZ59:BL59"/>
    <mergeCell ref="BM59:BO59"/>
    <mergeCell ref="B58:M58"/>
    <mergeCell ref="N58:P58"/>
    <mergeCell ref="R58:AD58"/>
    <mergeCell ref="AE58:AG58"/>
    <mergeCell ref="AI58:AU58"/>
    <mergeCell ref="AU61:BB61"/>
    <mergeCell ref="B76:V76"/>
    <mergeCell ref="AV58:AX58"/>
    <mergeCell ref="R42:AD42"/>
    <mergeCell ref="AE42:AG42"/>
    <mergeCell ref="AI42:BL42"/>
    <mergeCell ref="BM42:BO42"/>
    <mergeCell ref="AV57:AX57"/>
    <mergeCell ref="B41:J41"/>
    <mergeCell ref="K41:M41"/>
    <mergeCell ref="N41:P41"/>
    <mergeCell ref="R41:AD41"/>
    <mergeCell ref="AE41:AG41"/>
    <mergeCell ref="AZ44:BF44"/>
    <mergeCell ref="R56:AG56"/>
    <mergeCell ref="B57:M57"/>
    <mergeCell ref="N57:P57"/>
    <mergeCell ref="R57:AD57"/>
    <mergeCell ref="AE57:AG57"/>
    <mergeCell ref="AI57:AU57"/>
    <mergeCell ref="AI41:BL41"/>
    <mergeCell ref="B44:H44"/>
    <mergeCell ref="R44:X44"/>
    <mergeCell ref="AI44:AO44"/>
    <mergeCell ref="BM41:BO41"/>
    <mergeCell ref="B42:J42"/>
    <mergeCell ref="BM95:BO95"/>
    <mergeCell ref="A1:BC1"/>
    <mergeCell ref="A2:BO2"/>
    <mergeCell ref="BH1:BO1"/>
    <mergeCell ref="B79:H79"/>
    <mergeCell ref="X79:AD79"/>
    <mergeCell ref="AT79:AT94"/>
    <mergeCell ref="AU79:AZ79"/>
    <mergeCell ref="B94:V94"/>
    <mergeCell ref="B95:S95"/>
    <mergeCell ref="T95:V95"/>
    <mergeCell ref="X95:AN95"/>
    <mergeCell ref="AO95:AS95"/>
    <mergeCell ref="AU95:BL95"/>
    <mergeCell ref="B77:S77"/>
    <mergeCell ref="T77:V77"/>
    <mergeCell ref="X77:AP77"/>
    <mergeCell ref="AQ77:AS77"/>
    <mergeCell ref="AU77:BL77"/>
    <mergeCell ref="BM77:BO77"/>
    <mergeCell ref="B61:H61"/>
    <mergeCell ref="X61:AD61"/>
    <mergeCell ref="K42:M42"/>
    <mergeCell ref="N42:P42"/>
  </mergeCells>
  <hyperlinks>
    <hyperlink ref="BH1:BO1" location="ОГЛАВЛЕНИЕ!A1" display="ОГЛАВЛЕНИЕ!A1" xr:uid="{CE4415E9-0FF8-4E82-8100-8E14AA63530D}"/>
  </hyperlinks>
  <printOptions horizontalCentered="1"/>
  <pageMargins left="0.23622047244094491" right="0.23622047244094491" top="0.23622047244094491" bottom="0.23622047244094491" header="0.23622047244094491" footer="0.23622047244094491"/>
  <pageSetup paperSize="9" scale="62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7E8CD-5E89-45B7-BAA6-4BBD28CB6CC5}">
  <sheetPr>
    <tabColor rgb="FF92D050"/>
    <pageSetUpPr fitToPage="1"/>
  </sheetPr>
  <dimension ref="A1:BS257"/>
  <sheetViews>
    <sheetView showGridLines="0" view="pageBreakPreview" zoomScaleSheetLayoutView="100" workbookViewId="0">
      <selection activeCell="BJ2" sqref="BJ2:BR2"/>
    </sheetView>
  </sheetViews>
  <sheetFormatPr defaultColWidth="9.140625" defaultRowHeight="8.25" x14ac:dyDescent="0.25"/>
  <cols>
    <col min="1" max="1" width="0.28515625" style="46" customWidth="1"/>
    <col min="2" max="12" width="1.7109375" style="46" customWidth="1"/>
    <col min="13" max="13" width="2.28515625" style="46" customWidth="1"/>
    <col min="14" max="14" width="2.7109375" style="46" customWidth="1"/>
    <col min="15" max="15" width="0.28515625" style="46" customWidth="1"/>
    <col min="16" max="26" width="1.7109375" style="46" customWidth="1"/>
    <col min="27" max="27" width="2.28515625" style="46" customWidth="1"/>
    <col min="28" max="28" width="3" style="46" customWidth="1"/>
    <col min="29" max="29" width="0.28515625" style="46" customWidth="1"/>
    <col min="30" max="40" width="1.7109375" style="46" customWidth="1"/>
    <col min="41" max="41" width="2.28515625" style="46" customWidth="1"/>
    <col min="42" max="42" width="4.140625" style="46" customWidth="1"/>
    <col min="43" max="43" width="0.28515625" style="46" customWidth="1"/>
    <col min="44" max="54" width="1.7109375" style="46" customWidth="1"/>
    <col min="55" max="55" width="2.28515625" style="46" customWidth="1"/>
    <col min="56" max="56" width="3" style="46" customWidth="1"/>
    <col min="57" max="57" width="0.28515625" style="46" customWidth="1"/>
    <col min="58" max="67" width="1.7109375" style="46" customWidth="1"/>
    <col min="68" max="68" width="2.140625" style="46" customWidth="1"/>
    <col min="69" max="69" width="1.7109375" style="46" customWidth="1"/>
    <col min="70" max="70" width="3.5703125" style="46" customWidth="1"/>
    <col min="71" max="71" width="0.28515625" style="46" customWidth="1"/>
    <col min="72" max="16384" width="9.140625" style="46"/>
  </cols>
  <sheetData>
    <row r="1" spans="1:71" ht="1.5" customHeight="1" x14ac:dyDescent="0.25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5"/>
    </row>
    <row r="2" spans="1:71" s="6" customFormat="1" ht="90.95" customHeight="1" x14ac:dyDescent="0.25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171"/>
      <c r="BE2" s="170"/>
      <c r="BF2" s="170"/>
      <c r="BG2" s="170"/>
      <c r="BH2" s="170"/>
      <c r="BI2" s="170"/>
      <c r="BJ2" s="288" t="s">
        <v>0</v>
      </c>
      <c r="BK2" s="288"/>
      <c r="BL2" s="288"/>
      <c r="BM2" s="288"/>
      <c r="BN2" s="288"/>
      <c r="BO2" s="288"/>
      <c r="BP2" s="288"/>
      <c r="BQ2" s="288"/>
      <c r="BR2" s="288"/>
    </row>
    <row r="3" spans="1:71" s="6" customFormat="1" ht="12" x14ac:dyDescent="0.25">
      <c r="A3" s="289" t="s">
        <v>14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</row>
    <row r="4" spans="1:71" ht="18" customHeight="1" x14ac:dyDescent="0.25">
      <c r="A4" s="48"/>
      <c r="B4" s="277">
        <v>1.9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66"/>
      <c r="P4" s="279" t="s">
        <v>15</v>
      </c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  <c r="AV4" s="279"/>
      <c r="AW4" s="279"/>
      <c r="AX4" s="279"/>
      <c r="AY4" s="279"/>
      <c r="AZ4" s="279"/>
      <c r="BA4" s="279"/>
      <c r="BB4" s="279"/>
      <c r="BC4" s="279"/>
      <c r="BD4" s="279"/>
      <c r="BE4" s="279"/>
      <c r="BF4" s="279"/>
      <c r="BG4" s="279"/>
      <c r="BH4" s="279"/>
      <c r="BI4" s="279"/>
      <c r="BJ4" s="279"/>
      <c r="BK4" s="279"/>
      <c r="BL4" s="279"/>
      <c r="BM4" s="279"/>
      <c r="BN4" s="279"/>
      <c r="BO4" s="279"/>
      <c r="BP4" s="279"/>
      <c r="BQ4" s="279"/>
      <c r="BR4" s="279"/>
      <c r="BS4" s="47"/>
    </row>
    <row r="5" spans="1:71" hidden="1" x14ac:dyDescent="0.25">
      <c r="A5" s="48"/>
      <c r="BS5" s="47"/>
    </row>
    <row r="6" spans="1:71" hidden="1" x14ac:dyDescent="0.25">
      <c r="A6" s="48"/>
      <c r="BS6" s="47"/>
    </row>
    <row r="7" spans="1:71" s="50" customFormat="1" ht="2.1" customHeight="1" x14ac:dyDescent="0.25">
      <c r="A7" s="49"/>
      <c r="N7" s="51"/>
      <c r="O7" s="51"/>
      <c r="P7" s="51"/>
      <c r="Q7" s="51"/>
      <c r="Y7" s="51"/>
      <c r="Z7" s="51"/>
      <c r="AA7" s="51"/>
      <c r="AB7" s="51"/>
      <c r="AY7" s="51"/>
      <c r="AZ7" s="51"/>
      <c r="BA7" s="51"/>
      <c r="BB7" s="51"/>
      <c r="BC7" s="51"/>
      <c r="BD7" s="51"/>
      <c r="BE7" s="51"/>
      <c r="BS7" s="52"/>
    </row>
    <row r="8" spans="1:71" s="50" customFormat="1" ht="21.75" customHeight="1" x14ac:dyDescent="0.25">
      <c r="A8" s="49"/>
      <c r="B8" s="280" t="s">
        <v>16</v>
      </c>
      <c r="C8" s="280"/>
      <c r="D8" s="280"/>
      <c r="E8" s="280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0"/>
      <c r="AC8" s="280"/>
      <c r="AD8" s="280"/>
      <c r="AE8" s="280"/>
      <c r="AF8" s="280"/>
      <c r="AG8" s="280"/>
      <c r="AH8" s="280"/>
      <c r="AI8" s="280"/>
      <c r="AJ8" s="280"/>
      <c r="AK8" s="280"/>
      <c r="AL8" s="280"/>
      <c r="AM8" s="280"/>
      <c r="AN8" s="280"/>
      <c r="AO8" s="280"/>
      <c r="AP8" s="280"/>
      <c r="AQ8" s="280"/>
      <c r="AR8" s="280"/>
      <c r="AS8" s="280"/>
      <c r="AT8" s="280"/>
      <c r="AU8" s="280"/>
      <c r="AV8" s="280"/>
      <c r="AW8" s="280"/>
      <c r="AX8" s="280"/>
      <c r="AY8" s="280"/>
      <c r="AZ8" s="280"/>
      <c r="BA8" s="280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52"/>
    </row>
    <row r="9" spans="1:71" s="5" customFormat="1" ht="9" customHeight="1" x14ac:dyDescent="0.25">
      <c r="A9" s="53"/>
      <c r="B9" s="341" t="s">
        <v>17</v>
      </c>
      <c r="C9" s="342"/>
      <c r="D9" s="342"/>
      <c r="E9" s="343"/>
      <c r="F9" s="54"/>
      <c r="G9" s="55"/>
      <c r="H9" s="55"/>
      <c r="I9" s="55"/>
      <c r="J9" s="55"/>
      <c r="K9" s="55"/>
      <c r="L9" s="55"/>
      <c r="M9" s="55"/>
      <c r="N9" s="56"/>
      <c r="O9" s="1"/>
      <c r="P9" s="341" t="s">
        <v>18</v>
      </c>
      <c r="Q9" s="342"/>
      <c r="R9" s="342"/>
      <c r="S9" s="343"/>
      <c r="T9" s="54"/>
      <c r="U9" s="55"/>
      <c r="V9" s="55"/>
      <c r="W9" s="55"/>
      <c r="X9" s="55"/>
      <c r="Y9" s="55"/>
      <c r="Z9" s="55"/>
      <c r="AA9" s="55"/>
      <c r="AB9" s="56"/>
      <c r="AC9" s="1"/>
      <c r="AD9" s="341" t="s">
        <v>19</v>
      </c>
      <c r="AE9" s="342"/>
      <c r="AF9" s="342"/>
      <c r="AG9" s="343"/>
      <c r="AH9" s="54"/>
      <c r="AI9" s="55"/>
      <c r="AJ9" s="55"/>
      <c r="AK9" s="55"/>
      <c r="AL9" s="55"/>
      <c r="AM9" s="55"/>
      <c r="AN9" s="55"/>
      <c r="AO9" s="55"/>
      <c r="AP9" s="56"/>
      <c r="AQ9" s="1"/>
      <c r="AR9" s="341" t="s">
        <v>20</v>
      </c>
      <c r="AS9" s="342"/>
      <c r="AT9" s="342"/>
      <c r="AU9" s="343"/>
      <c r="AV9" s="54"/>
      <c r="AW9" s="55"/>
      <c r="AX9" s="55"/>
      <c r="AY9" s="55"/>
      <c r="AZ9" s="55"/>
      <c r="BA9" s="55"/>
      <c r="BB9" s="55"/>
      <c r="BC9" s="55"/>
      <c r="BD9" s="56"/>
      <c r="BE9" s="1"/>
      <c r="BF9" s="341" t="s">
        <v>21</v>
      </c>
      <c r="BG9" s="342"/>
      <c r="BH9" s="342"/>
      <c r="BI9" s="343"/>
      <c r="BJ9" s="54"/>
      <c r="BK9" s="55"/>
      <c r="BL9" s="55"/>
      <c r="BM9" s="55"/>
      <c r="BN9" s="55"/>
      <c r="BO9" s="55"/>
      <c r="BP9" s="55"/>
      <c r="BQ9" s="55"/>
      <c r="BR9" s="56"/>
      <c r="BS9" s="57"/>
    </row>
    <row r="10" spans="1:71" s="63" customFormat="1" ht="9" customHeight="1" x14ac:dyDescent="0.25">
      <c r="A10" s="58"/>
      <c r="B10" s="59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1"/>
      <c r="O10" s="60"/>
      <c r="P10" s="59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1"/>
      <c r="AC10" s="60"/>
      <c r="AD10" s="59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1"/>
      <c r="AQ10" s="60"/>
      <c r="AR10" s="59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1"/>
      <c r="BE10" s="60"/>
      <c r="BF10" s="59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1"/>
      <c r="BS10" s="62"/>
    </row>
    <row r="11" spans="1:71" s="50" customFormat="1" ht="9" customHeight="1" x14ac:dyDescent="0.25">
      <c r="A11" s="49"/>
      <c r="B11" s="59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1"/>
      <c r="O11" s="60"/>
      <c r="P11" s="59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1"/>
      <c r="AC11" s="60"/>
      <c r="AD11" s="59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1"/>
      <c r="AQ11" s="60"/>
      <c r="AR11" s="59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1"/>
      <c r="BE11" s="60"/>
      <c r="BF11" s="59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1"/>
      <c r="BS11" s="52"/>
    </row>
    <row r="12" spans="1:71" s="50" customFormat="1" ht="9" customHeight="1" x14ac:dyDescent="0.25">
      <c r="A12" s="49"/>
      <c r="B12" s="59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1"/>
      <c r="O12" s="60"/>
      <c r="P12" s="59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1"/>
      <c r="AC12" s="60"/>
      <c r="AD12" s="59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1"/>
      <c r="AQ12" s="60"/>
      <c r="AR12" s="59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1"/>
      <c r="BE12" s="60"/>
      <c r="BF12" s="59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1"/>
      <c r="BS12" s="52"/>
    </row>
    <row r="13" spans="1:71" s="50" customFormat="1" ht="9" customHeight="1" x14ac:dyDescent="0.25">
      <c r="A13" s="49"/>
      <c r="B13" s="59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1"/>
      <c r="O13" s="60"/>
      <c r="P13" s="59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1"/>
      <c r="AC13" s="60"/>
      <c r="AD13" s="59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1"/>
      <c r="AQ13" s="60"/>
      <c r="AR13" s="59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1"/>
      <c r="BE13" s="60"/>
      <c r="BF13" s="59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1"/>
      <c r="BS13" s="52"/>
    </row>
    <row r="14" spans="1:71" s="50" customFormat="1" ht="9" customHeight="1" x14ac:dyDescent="0.25">
      <c r="A14" s="49"/>
      <c r="B14" s="59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1"/>
      <c r="O14" s="60"/>
      <c r="P14" s="59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1"/>
      <c r="AC14" s="60"/>
      <c r="AD14" s="59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1"/>
      <c r="AQ14" s="60"/>
      <c r="AR14" s="59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1"/>
      <c r="BE14" s="60"/>
      <c r="BF14" s="59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1"/>
      <c r="BS14" s="52"/>
    </row>
    <row r="15" spans="1:71" s="50" customFormat="1" ht="9" customHeight="1" x14ac:dyDescent="0.25">
      <c r="A15" s="49"/>
      <c r="B15" s="59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1"/>
      <c r="O15" s="60"/>
      <c r="P15" s="59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1"/>
      <c r="AC15" s="60"/>
      <c r="AD15" s="59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1"/>
      <c r="AQ15" s="60"/>
      <c r="AR15" s="59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1"/>
      <c r="BE15" s="60"/>
      <c r="BF15" s="59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1"/>
      <c r="BS15" s="52"/>
    </row>
    <row r="16" spans="1:71" s="50" customFormat="1" ht="9" customHeight="1" x14ac:dyDescent="0.25">
      <c r="A16" s="49"/>
      <c r="B16" s="59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1"/>
      <c r="O16" s="60"/>
      <c r="P16" s="59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1"/>
      <c r="AC16" s="60"/>
      <c r="AD16" s="59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1"/>
      <c r="AQ16" s="60"/>
      <c r="AR16" s="59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1"/>
      <c r="BE16" s="60"/>
      <c r="BF16" s="59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1"/>
      <c r="BS16" s="52"/>
    </row>
    <row r="17" spans="1:71" s="50" customFormat="1" ht="9" customHeight="1" x14ac:dyDescent="0.25">
      <c r="A17" s="49"/>
      <c r="B17" s="59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1"/>
      <c r="O17" s="60"/>
      <c r="P17" s="59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1"/>
      <c r="AC17" s="60"/>
      <c r="AD17" s="59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1"/>
      <c r="AQ17" s="60"/>
      <c r="AR17" s="59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1"/>
      <c r="BE17" s="60"/>
      <c r="BF17" s="59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1"/>
      <c r="BS17" s="52"/>
    </row>
    <row r="18" spans="1:71" s="50" customFormat="1" ht="9" customHeight="1" x14ac:dyDescent="0.25">
      <c r="A18" s="49"/>
      <c r="B18" s="59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1"/>
      <c r="O18" s="60"/>
      <c r="P18" s="59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1"/>
      <c r="AC18" s="60"/>
      <c r="AD18" s="59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1"/>
      <c r="AQ18" s="60"/>
      <c r="AR18" s="59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1"/>
      <c r="BE18" s="60"/>
      <c r="BF18" s="59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1"/>
      <c r="BS18" s="52"/>
    </row>
    <row r="19" spans="1:71" s="50" customFormat="1" ht="9" customHeight="1" x14ac:dyDescent="0.25">
      <c r="A19" s="49"/>
      <c r="B19" s="54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6"/>
      <c r="O19" s="60"/>
      <c r="P19" s="54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6"/>
      <c r="AC19" s="60"/>
      <c r="AD19" s="54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6"/>
      <c r="AQ19" s="60"/>
      <c r="AR19" s="54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6"/>
      <c r="BE19" s="60"/>
      <c r="BF19" s="54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6"/>
      <c r="BS19" s="52"/>
    </row>
    <row r="20" spans="1:71" s="50" customFormat="1" ht="9" customHeight="1" x14ac:dyDescent="0.25">
      <c r="A20" s="49"/>
      <c r="B20" s="54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6"/>
      <c r="O20" s="60"/>
      <c r="P20" s="54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6"/>
      <c r="AC20" s="60"/>
      <c r="AD20" s="54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6"/>
      <c r="AQ20" s="60"/>
      <c r="AR20" s="54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6"/>
      <c r="BE20" s="60"/>
      <c r="BF20" s="54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6"/>
      <c r="BS20" s="52"/>
    </row>
    <row r="21" spans="1:71" s="50" customFormat="1" ht="9" customHeight="1" x14ac:dyDescent="0.2">
      <c r="A21" s="49"/>
      <c r="B21" s="64"/>
      <c r="C21" s="65"/>
      <c r="D21" s="65"/>
      <c r="E21" s="65"/>
      <c r="F21" s="65"/>
      <c r="G21" s="65"/>
      <c r="H21" s="65"/>
      <c r="I21" s="65"/>
      <c r="J21" s="65"/>
      <c r="K21" s="65"/>
      <c r="L21" s="55"/>
      <c r="M21" s="55"/>
      <c r="N21" s="56"/>
      <c r="O21" s="66"/>
      <c r="P21" s="64"/>
      <c r="Q21" s="65"/>
      <c r="R21" s="65"/>
      <c r="S21" s="65"/>
      <c r="T21" s="65"/>
      <c r="U21" s="65"/>
      <c r="V21" s="65"/>
      <c r="W21" s="65"/>
      <c r="X21" s="65"/>
      <c r="Y21" s="65"/>
      <c r="Z21" s="55"/>
      <c r="AA21" s="55"/>
      <c r="AB21" s="56"/>
      <c r="AC21" s="66"/>
      <c r="AD21" s="64"/>
      <c r="AE21" s="65"/>
      <c r="AF21" s="65"/>
      <c r="AG21" s="65"/>
      <c r="AH21" s="65"/>
      <c r="AI21" s="65"/>
      <c r="AJ21" s="65"/>
      <c r="AK21" s="65"/>
      <c r="AL21" s="65"/>
      <c r="AM21" s="65"/>
      <c r="AN21" s="55"/>
      <c r="AO21" s="55"/>
      <c r="AP21" s="56"/>
      <c r="AQ21" s="66"/>
      <c r="AR21" s="64"/>
      <c r="AS21" s="65"/>
      <c r="AT21" s="65"/>
      <c r="AU21" s="65"/>
      <c r="AV21" s="65"/>
      <c r="AW21" s="65"/>
      <c r="AX21" s="65"/>
      <c r="AY21" s="65"/>
      <c r="AZ21" s="65"/>
      <c r="BA21" s="65"/>
      <c r="BB21" s="55"/>
      <c r="BC21" s="55"/>
      <c r="BD21" s="56"/>
      <c r="BE21" s="66"/>
      <c r="BF21" s="64"/>
      <c r="BG21" s="65"/>
      <c r="BH21" s="65"/>
      <c r="BI21" s="65"/>
      <c r="BJ21" s="65"/>
      <c r="BK21" s="65"/>
      <c r="BL21" s="65"/>
      <c r="BM21" s="65"/>
      <c r="BN21" s="65"/>
      <c r="BO21" s="65"/>
      <c r="BP21" s="55"/>
      <c r="BQ21" s="55"/>
      <c r="BR21" s="56"/>
      <c r="BS21" s="52"/>
    </row>
    <row r="22" spans="1:71" s="50" customFormat="1" ht="9" customHeight="1" x14ac:dyDescent="0.2">
      <c r="A22" s="49"/>
      <c r="B22" s="353" t="s">
        <v>9</v>
      </c>
      <c r="C22" s="354"/>
      <c r="D22" s="354"/>
      <c r="E22" s="354"/>
      <c r="F22" s="354"/>
      <c r="G22" s="354"/>
      <c r="H22" s="354"/>
      <c r="I22" s="354"/>
      <c r="J22" s="354"/>
      <c r="K22" s="354"/>
      <c r="L22" s="354"/>
      <c r="M22" s="354"/>
      <c r="N22" s="355"/>
      <c r="O22" s="66"/>
      <c r="P22" s="353" t="s">
        <v>9</v>
      </c>
      <c r="Q22" s="354"/>
      <c r="R22" s="354"/>
      <c r="S22" s="354"/>
      <c r="T22" s="354"/>
      <c r="U22" s="354"/>
      <c r="V22" s="354"/>
      <c r="W22" s="354"/>
      <c r="X22" s="354"/>
      <c r="Y22" s="354"/>
      <c r="Z22" s="354"/>
      <c r="AA22" s="354"/>
      <c r="AB22" s="355"/>
      <c r="AC22" s="66"/>
      <c r="AD22" s="353" t="s">
        <v>9</v>
      </c>
      <c r="AE22" s="354"/>
      <c r="AF22" s="354"/>
      <c r="AG22" s="354"/>
      <c r="AH22" s="354"/>
      <c r="AI22" s="354"/>
      <c r="AJ22" s="354"/>
      <c r="AK22" s="354"/>
      <c r="AL22" s="354"/>
      <c r="AM22" s="354"/>
      <c r="AN22" s="354"/>
      <c r="AO22" s="354"/>
      <c r="AP22" s="355"/>
      <c r="AQ22" s="66"/>
      <c r="AR22" s="353" t="s">
        <v>9</v>
      </c>
      <c r="AS22" s="354"/>
      <c r="AT22" s="354"/>
      <c r="AU22" s="354"/>
      <c r="AV22" s="354"/>
      <c r="AW22" s="354"/>
      <c r="AX22" s="354"/>
      <c r="AY22" s="354"/>
      <c r="AZ22" s="354"/>
      <c r="BA22" s="354"/>
      <c r="BB22" s="354"/>
      <c r="BC22" s="354"/>
      <c r="BD22" s="355"/>
      <c r="BE22" s="66"/>
      <c r="BF22" s="353" t="s">
        <v>9</v>
      </c>
      <c r="BG22" s="354"/>
      <c r="BH22" s="354"/>
      <c r="BI22" s="354"/>
      <c r="BJ22" s="354"/>
      <c r="BK22" s="354"/>
      <c r="BL22" s="354"/>
      <c r="BM22" s="354"/>
      <c r="BN22" s="354"/>
      <c r="BO22" s="354"/>
      <c r="BP22" s="354"/>
      <c r="BQ22" s="354"/>
      <c r="BR22" s="355"/>
      <c r="BS22" s="52"/>
    </row>
    <row r="23" spans="1:71" s="50" customFormat="1" ht="9" customHeight="1" x14ac:dyDescent="0.15">
      <c r="A23" s="49"/>
      <c r="B23" s="239" t="s">
        <v>22</v>
      </c>
      <c r="C23" s="239"/>
      <c r="D23" s="239"/>
      <c r="E23" s="239"/>
      <c r="F23" s="239"/>
      <c r="G23" s="239"/>
      <c r="H23" s="239"/>
      <c r="I23" s="239"/>
      <c r="J23" s="239"/>
      <c r="K23" s="239"/>
      <c r="L23" s="240">
        <f>CEILING(1045*B4,1)</f>
        <v>1986</v>
      </c>
      <c r="M23" s="240"/>
      <c r="N23" s="240"/>
      <c r="O23" s="67"/>
      <c r="P23" s="239" t="s">
        <v>22</v>
      </c>
      <c r="Q23" s="239"/>
      <c r="R23" s="239"/>
      <c r="S23" s="239"/>
      <c r="T23" s="239"/>
      <c r="U23" s="239"/>
      <c r="V23" s="239"/>
      <c r="W23" s="239"/>
      <c r="X23" s="239"/>
      <c r="Y23" s="239"/>
      <c r="Z23" s="240">
        <f>CEILING(1162*B4,1)</f>
        <v>2208</v>
      </c>
      <c r="AA23" s="240"/>
      <c r="AB23" s="240"/>
      <c r="AC23" s="67"/>
      <c r="AD23" s="239" t="s">
        <v>22</v>
      </c>
      <c r="AE23" s="239"/>
      <c r="AF23" s="239"/>
      <c r="AG23" s="239"/>
      <c r="AH23" s="239"/>
      <c r="AI23" s="239"/>
      <c r="AJ23" s="239"/>
      <c r="AK23" s="239"/>
      <c r="AL23" s="239"/>
      <c r="AM23" s="239"/>
      <c r="AN23" s="240">
        <f>CEILING(1292*B4,1)</f>
        <v>2455</v>
      </c>
      <c r="AO23" s="240"/>
      <c r="AP23" s="240"/>
      <c r="AQ23" s="67"/>
      <c r="AR23" s="239" t="s">
        <v>22</v>
      </c>
      <c r="AS23" s="239"/>
      <c r="AT23" s="239"/>
      <c r="AU23" s="239"/>
      <c r="AV23" s="239"/>
      <c r="AW23" s="239"/>
      <c r="AX23" s="239"/>
      <c r="AY23" s="239"/>
      <c r="AZ23" s="239"/>
      <c r="BA23" s="239"/>
      <c r="BB23" s="240">
        <f>CEILING(1561*B4,1)</f>
        <v>2966</v>
      </c>
      <c r="BC23" s="240"/>
      <c r="BD23" s="240"/>
      <c r="BE23" s="67"/>
      <c r="BF23" s="239" t="s">
        <v>22</v>
      </c>
      <c r="BG23" s="239"/>
      <c r="BH23" s="239"/>
      <c r="BI23" s="239"/>
      <c r="BJ23" s="239"/>
      <c r="BK23" s="239"/>
      <c r="BL23" s="239"/>
      <c r="BM23" s="239"/>
      <c r="BN23" s="239"/>
      <c r="BO23" s="239"/>
      <c r="BP23" s="240">
        <f>CEILING(1643*B4,1)</f>
        <v>3122</v>
      </c>
      <c r="BQ23" s="240"/>
      <c r="BR23" s="240"/>
      <c r="BS23" s="52"/>
    </row>
    <row r="24" spans="1:71" s="50" customFormat="1" ht="2.1" customHeight="1" x14ac:dyDescent="0.25">
      <c r="A24" s="49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52"/>
    </row>
    <row r="25" spans="1:71" s="50" customFormat="1" ht="9" customHeight="1" x14ac:dyDescent="0.25">
      <c r="A25" s="49"/>
      <c r="B25" s="321" t="s">
        <v>23</v>
      </c>
      <c r="C25" s="322"/>
      <c r="D25" s="322"/>
      <c r="E25" s="323"/>
      <c r="F25" s="68"/>
      <c r="G25" s="69"/>
      <c r="H25" s="69"/>
      <c r="I25" s="69"/>
      <c r="J25" s="69"/>
      <c r="K25" s="69"/>
      <c r="L25" s="69"/>
      <c r="M25" s="69"/>
      <c r="N25" s="70"/>
      <c r="O25" s="1"/>
      <c r="P25" s="321" t="s">
        <v>24</v>
      </c>
      <c r="Q25" s="322"/>
      <c r="R25" s="322"/>
      <c r="S25" s="323"/>
      <c r="T25" s="68"/>
      <c r="U25" s="69"/>
      <c r="V25" s="69"/>
      <c r="W25" s="69"/>
      <c r="X25" s="69"/>
      <c r="Y25" s="69"/>
      <c r="Z25" s="69"/>
      <c r="AA25" s="69"/>
      <c r="AB25" s="70"/>
      <c r="AC25" s="1"/>
      <c r="AD25" s="321" t="s">
        <v>25</v>
      </c>
      <c r="AE25" s="322"/>
      <c r="AF25" s="322"/>
      <c r="AG25" s="323"/>
      <c r="AH25" s="68"/>
      <c r="AI25" s="69"/>
      <c r="AJ25" s="69"/>
      <c r="AK25" s="69"/>
      <c r="AL25" s="69"/>
      <c r="AM25" s="69"/>
      <c r="AN25" s="69"/>
      <c r="AO25" s="69"/>
      <c r="AP25" s="70"/>
      <c r="AQ25" s="1"/>
      <c r="AR25" s="321" t="s">
        <v>26</v>
      </c>
      <c r="AS25" s="322"/>
      <c r="AT25" s="322"/>
      <c r="AU25" s="323"/>
      <c r="AV25" s="68"/>
      <c r="AW25" s="69"/>
      <c r="AX25" s="69"/>
      <c r="AY25" s="69"/>
      <c r="AZ25" s="69"/>
      <c r="BA25" s="69"/>
      <c r="BB25" s="69"/>
      <c r="BC25" s="69"/>
      <c r="BD25" s="70"/>
      <c r="BE25" s="1"/>
      <c r="BF25" s="321" t="s">
        <v>27</v>
      </c>
      <c r="BG25" s="322"/>
      <c r="BH25" s="322"/>
      <c r="BI25" s="323"/>
      <c r="BJ25" s="68"/>
      <c r="BK25" s="69"/>
      <c r="BL25" s="69"/>
      <c r="BM25" s="69"/>
      <c r="BN25" s="69"/>
      <c r="BO25" s="69"/>
      <c r="BP25" s="69"/>
      <c r="BQ25" s="69"/>
      <c r="BR25" s="70"/>
      <c r="BS25" s="52"/>
    </row>
    <row r="26" spans="1:71" s="50" customFormat="1" ht="9" customHeight="1" x14ac:dyDescent="0.25">
      <c r="A26" s="49"/>
      <c r="B26" s="59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1"/>
      <c r="O26" s="60"/>
      <c r="P26" s="59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1"/>
      <c r="AC26" s="60"/>
      <c r="AD26" s="59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1"/>
      <c r="AQ26" s="60"/>
      <c r="AR26" s="59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1"/>
      <c r="BE26" s="60"/>
      <c r="BF26" s="59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1"/>
      <c r="BS26" s="52"/>
    </row>
    <row r="27" spans="1:71" s="50" customFormat="1" ht="9" customHeight="1" x14ac:dyDescent="0.25">
      <c r="A27" s="49"/>
      <c r="B27" s="59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1"/>
      <c r="O27" s="60"/>
      <c r="P27" s="59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1"/>
      <c r="AC27" s="60"/>
      <c r="AD27" s="59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1"/>
      <c r="AQ27" s="60"/>
      <c r="AR27" s="59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1"/>
      <c r="BE27" s="60"/>
      <c r="BF27" s="59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1"/>
      <c r="BS27" s="52"/>
    </row>
    <row r="28" spans="1:71" s="50" customFormat="1" ht="9" customHeight="1" x14ac:dyDescent="0.25">
      <c r="A28" s="49"/>
      <c r="B28" s="59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1"/>
      <c r="O28" s="60"/>
      <c r="P28" s="59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1"/>
      <c r="AC28" s="60"/>
      <c r="AD28" s="59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1"/>
      <c r="AQ28" s="60"/>
      <c r="AR28" s="59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1"/>
      <c r="BE28" s="60"/>
      <c r="BF28" s="59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1"/>
      <c r="BS28" s="52"/>
    </row>
    <row r="29" spans="1:71" s="50" customFormat="1" ht="9" customHeight="1" x14ac:dyDescent="0.25">
      <c r="A29" s="49"/>
      <c r="B29" s="59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1"/>
      <c r="O29" s="60"/>
      <c r="P29" s="59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1"/>
      <c r="AC29" s="60"/>
      <c r="AD29" s="59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1"/>
      <c r="AQ29" s="60"/>
      <c r="AR29" s="59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1"/>
      <c r="BE29" s="60"/>
      <c r="BF29" s="59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1"/>
      <c r="BS29" s="52"/>
    </row>
    <row r="30" spans="1:71" s="50" customFormat="1" ht="9" customHeight="1" x14ac:dyDescent="0.25">
      <c r="A30" s="49"/>
      <c r="B30" s="59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1"/>
      <c r="O30" s="60"/>
      <c r="P30" s="59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1"/>
      <c r="AC30" s="60"/>
      <c r="AD30" s="59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1"/>
      <c r="AQ30" s="60"/>
      <c r="AR30" s="59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1"/>
      <c r="BE30" s="60"/>
      <c r="BF30" s="59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1"/>
      <c r="BS30" s="52"/>
    </row>
    <row r="31" spans="1:71" s="50" customFormat="1" ht="9" customHeight="1" x14ac:dyDescent="0.25">
      <c r="A31" s="49"/>
      <c r="B31" s="59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59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1"/>
      <c r="AC31" s="60"/>
      <c r="AD31" s="59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1"/>
      <c r="AQ31" s="60"/>
      <c r="AR31" s="59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1"/>
      <c r="BE31" s="60"/>
      <c r="BF31" s="59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1"/>
      <c r="BS31" s="52"/>
    </row>
    <row r="32" spans="1:71" s="50" customFormat="1" ht="9" customHeight="1" x14ac:dyDescent="0.25">
      <c r="A32" s="49"/>
      <c r="B32" s="59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1"/>
      <c r="O32" s="60"/>
      <c r="P32" s="59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1"/>
      <c r="AC32" s="60"/>
      <c r="AD32" s="59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1"/>
      <c r="AQ32" s="60"/>
      <c r="AR32" s="59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1"/>
      <c r="BE32" s="60"/>
      <c r="BF32" s="59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1"/>
      <c r="BS32" s="52"/>
    </row>
    <row r="33" spans="1:71" s="50" customFormat="1" ht="9" customHeight="1" x14ac:dyDescent="0.25">
      <c r="A33" s="49"/>
      <c r="B33" s="59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1"/>
      <c r="O33" s="60"/>
      <c r="P33" s="59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1"/>
      <c r="AC33" s="60"/>
      <c r="AD33" s="59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1"/>
      <c r="AQ33" s="60"/>
      <c r="AR33" s="59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1"/>
      <c r="BE33" s="60"/>
      <c r="BF33" s="59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1"/>
      <c r="BS33" s="52"/>
    </row>
    <row r="34" spans="1:71" s="50" customFormat="1" ht="9" customHeight="1" x14ac:dyDescent="0.25">
      <c r="A34" s="49"/>
      <c r="B34" s="59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1"/>
      <c r="O34" s="60"/>
      <c r="P34" s="59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1"/>
      <c r="AC34" s="60"/>
      <c r="AD34" s="59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1"/>
      <c r="AQ34" s="60"/>
      <c r="AR34" s="59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1"/>
      <c r="BE34" s="60"/>
      <c r="BF34" s="59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1"/>
      <c r="BS34" s="52"/>
    </row>
    <row r="35" spans="1:71" s="50" customFormat="1" ht="9" customHeight="1" x14ac:dyDescent="0.25">
      <c r="A35" s="49"/>
      <c r="B35" s="54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6"/>
      <c r="O35" s="60"/>
      <c r="P35" s="54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6"/>
      <c r="AC35" s="60"/>
      <c r="AD35" s="54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6"/>
      <c r="AQ35" s="60"/>
      <c r="AR35" s="54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6"/>
      <c r="BE35" s="60"/>
      <c r="BF35" s="54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6"/>
      <c r="BS35" s="52"/>
    </row>
    <row r="36" spans="1:71" s="50" customFormat="1" ht="9" customHeight="1" x14ac:dyDescent="0.25">
      <c r="A36" s="49"/>
      <c r="B36" s="54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6"/>
      <c r="O36" s="60"/>
      <c r="P36" s="54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  <c r="AC36" s="60"/>
      <c r="AD36" s="54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6"/>
      <c r="AQ36" s="60"/>
      <c r="AR36" s="54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6"/>
      <c r="BE36" s="60"/>
      <c r="BF36" s="54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6"/>
      <c r="BS36" s="52"/>
    </row>
    <row r="37" spans="1:71" s="50" customFormat="1" ht="9" customHeight="1" x14ac:dyDescent="0.2">
      <c r="A37" s="49"/>
      <c r="B37" s="64"/>
      <c r="C37" s="65"/>
      <c r="D37" s="65"/>
      <c r="E37" s="65"/>
      <c r="F37" s="65"/>
      <c r="G37" s="65"/>
      <c r="H37" s="65"/>
      <c r="I37" s="65"/>
      <c r="J37" s="65"/>
      <c r="K37" s="65"/>
      <c r="L37" s="55"/>
      <c r="M37" s="55"/>
      <c r="N37" s="56"/>
      <c r="O37" s="66"/>
      <c r="P37" s="64"/>
      <c r="Q37" s="65"/>
      <c r="R37" s="65"/>
      <c r="S37" s="65"/>
      <c r="T37" s="65"/>
      <c r="U37" s="65"/>
      <c r="V37" s="65"/>
      <c r="W37" s="65"/>
      <c r="X37" s="65"/>
      <c r="Y37" s="65"/>
      <c r="Z37" s="55"/>
      <c r="AA37" s="55"/>
      <c r="AB37" s="56"/>
      <c r="AC37" s="66"/>
      <c r="AD37" s="64"/>
      <c r="AE37" s="65"/>
      <c r="AF37" s="65"/>
      <c r="AG37" s="65"/>
      <c r="AH37" s="65"/>
      <c r="AI37" s="65"/>
      <c r="AJ37" s="65"/>
      <c r="AK37" s="65"/>
      <c r="AL37" s="65"/>
      <c r="AM37" s="65"/>
      <c r="AN37" s="55"/>
      <c r="AO37" s="55"/>
      <c r="AP37" s="56"/>
      <c r="AQ37" s="66"/>
      <c r="AR37" s="64"/>
      <c r="AS37" s="65"/>
      <c r="AT37" s="65"/>
      <c r="AU37" s="65"/>
      <c r="AV37" s="65"/>
      <c r="AW37" s="65"/>
      <c r="AX37" s="65"/>
      <c r="AY37" s="65"/>
      <c r="AZ37" s="65"/>
      <c r="BA37" s="65"/>
      <c r="BB37" s="55"/>
      <c r="BC37" s="55"/>
      <c r="BD37" s="56"/>
      <c r="BE37" s="66"/>
      <c r="BF37" s="64"/>
      <c r="BG37" s="65"/>
      <c r="BH37" s="65"/>
      <c r="BI37" s="65"/>
      <c r="BJ37" s="65"/>
      <c r="BK37" s="65"/>
      <c r="BL37" s="65"/>
      <c r="BM37" s="65"/>
      <c r="BN37" s="65"/>
      <c r="BO37" s="65"/>
      <c r="BP37" s="55"/>
      <c r="BQ37" s="55"/>
      <c r="BR37" s="56"/>
      <c r="BS37" s="52"/>
    </row>
    <row r="38" spans="1:71" s="50" customFormat="1" ht="9" customHeight="1" x14ac:dyDescent="0.2">
      <c r="A38" s="49"/>
      <c r="B38" s="353" t="s">
        <v>28</v>
      </c>
      <c r="C38" s="354"/>
      <c r="D38" s="354"/>
      <c r="E38" s="354"/>
      <c r="F38" s="354"/>
      <c r="G38" s="354"/>
      <c r="H38" s="354"/>
      <c r="I38" s="354"/>
      <c r="J38" s="354"/>
      <c r="K38" s="354"/>
      <c r="L38" s="354"/>
      <c r="M38" s="354"/>
      <c r="N38" s="355"/>
      <c r="O38" s="66"/>
      <c r="P38" s="353" t="s">
        <v>28</v>
      </c>
      <c r="Q38" s="354"/>
      <c r="R38" s="354"/>
      <c r="S38" s="354"/>
      <c r="T38" s="354"/>
      <c r="U38" s="354"/>
      <c r="V38" s="354"/>
      <c r="W38" s="354"/>
      <c r="X38" s="354"/>
      <c r="Y38" s="354"/>
      <c r="Z38" s="354"/>
      <c r="AA38" s="354"/>
      <c r="AB38" s="355"/>
      <c r="AC38" s="66"/>
      <c r="AD38" s="353" t="s">
        <v>28</v>
      </c>
      <c r="AE38" s="354"/>
      <c r="AF38" s="354"/>
      <c r="AG38" s="354"/>
      <c r="AH38" s="354"/>
      <c r="AI38" s="354"/>
      <c r="AJ38" s="354"/>
      <c r="AK38" s="354"/>
      <c r="AL38" s="354"/>
      <c r="AM38" s="354"/>
      <c r="AN38" s="354"/>
      <c r="AO38" s="354"/>
      <c r="AP38" s="355"/>
      <c r="AQ38" s="66"/>
      <c r="AR38" s="353" t="s">
        <v>28</v>
      </c>
      <c r="AS38" s="354"/>
      <c r="AT38" s="354"/>
      <c r="AU38" s="354"/>
      <c r="AV38" s="354"/>
      <c r="AW38" s="354"/>
      <c r="AX38" s="354"/>
      <c r="AY38" s="354"/>
      <c r="AZ38" s="354"/>
      <c r="BA38" s="354"/>
      <c r="BB38" s="354"/>
      <c r="BC38" s="354"/>
      <c r="BD38" s="355"/>
      <c r="BE38" s="66"/>
      <c r="BF38" s="353" t="s">
        <v>28</v>
      </c>
      <c r="BG38" s="354"/>
      <c r="BH38" s="354"/>
      <c r="BI38" s="354"/>
      <c r="BJ38" s="354"/>
      <c r="BK38" s="354"/>
      <c r="BL38" s="354"/>
      <c r="BM38" s="354"/>
      <c r="BN38" s="354"/>
      <c r="BO38" s="354"/>
      <c r="BP38" s="354"/>
      <c r="BQ38" s="354"/>
      <c r="BR38" s="355"/>
      <c r="BS38" s="52"/>
    </row>
    <row r="39" spans="1:71" s="50" customFormat="1" ht="9" customHeight="1" x14ac:dyDescent="0.15">
      <c r="A39" s="49"/>
      <c r="B39" s="239" t="s">
        <v>29</v>
      </c>
      <c r="C39" s="239"/>
      <c r="D39" s="239"/>
      <c r="E39" s="239"/>
      <c r="F39" s="239"/>
      <c r="G39" s="239"/>
      <c r="H39" s="239"/>
      <c r="I39" s="239"/>
      <c r="J39" s="239"/>
      <c r="K39" s="239"/>
      <c r="L39" s="240">
        <f>CEILING(1358*B4,1)</f>
        <v>2581</v>
      </c>
      <c r="M39" s="240"/>
      <c r="N39" s="240"/>
      <c r="O39" s="67"/>
      <c r="P39" s="239" t="s">
        <v>29</v>
      </c>
      <c r="Q39" s="239"/>
      <c r="R39" s="239"/>
      <c r="S39" s="239"/>
      <c r="T39" s="239"/>
      <c r="U39" s="239"/>
      <c r="V39" s="239"/>
      <c r="W39" s="239"/>
      <c r="X39" s="239"/>
      <c r="Y39" s="239"/>
      <c r="Z39" s="240">
        <f>CEILING(1521*B4,1)</f>
        <v>2890</v>
      </c>
      <c r="AA39" s="240"/>
      <c r="AB39" s="240"/>
      <c r="AC39" s="67"/>
      <c r="AD39" s="239" t="s">
        <v>29</v>
      </c>
      <c r="AE39" s="239"/>
      <c r="AF39" s="239"/>
      <c r="AG39" s="239"/>
      <c r="AH39" s="239"/>
      <c r="AI39" s="239"/>
      <c r="AJ39" s="239"/>
      <c r="AK39" s="239"/>
      <c r="AL39" s="239"/>
      <c r="AM39" s="239"/>
      <c r="AN39" s="240">
        <f>CEILING(1690*B4,1)</f>
        <v>3211</v>
      </c>
      <c r="AO39" s="240"/>
      <c r="AP39" s="240"/>
      <c r="AQ39" s="67"/>
      <c r="AR39" s="239" t="s">
        <v>29</v>
      </c>
      <c r="AS39" s="239"/>
      <c r="AT39" s="239"/>
      <c r="AU39" s="239"/>
      <c r="AV39" s="239"/>
      <c r="AW39" s="239"/>
      <c r="AX39" s="239"/>
      <c r="AY39" s="239"/>
      <c r="AZ39" s="239"/>
      <c r="BA39" s="239"/>
      <c r="BB39" s="240">
        <f>CEILING(1860*B4,1)</f>
        <v>3534</v>
      </c>
      <c r="BC39" s="240"/>
      <c r="BD39" s="240"/>
      <c r="BE39" s="67"/>
      <c r="BF39" s="239" t="s">
        <v>29</v>
      </c>
      <c r="BG39" s="239"/>
      <c r="BH39" s="239"/>
      <c r="BI39" s="239"/>
      <c r="BJ39" s="239"/>
      <c r="BK39" s="239"/>
      <c r="BL39" s="239"/>
      <c r="BM39" s="239"/>
      <c r="BN39" s="239"/>
      <c r="BO39" s="239"/>
      <c r="BP39" s="240">
        <f>CEILING(1953*B4,1)</f>
        <v>3711</v>
      </c>
      <c r="BQ39" s="240"/>
      <c r="BR39" s="240"/>
      <c r="BS39" s="52"/>
    </row>
    <row r="40" spans="1:71" s="50" customFormat="1" ht="2.1" customHeight="1" x14ac:dyDescent="0.25">
      <c r="A40" s="49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52"/>
    </row>
    <row r="41" spans="1:71" s="50" customFormat="1" ht="9" customHeight="1" x14ac:dyDescent="0.25">
      <c r="A41" s="49"/>
      <c r="B41" s="321" t="s">
        <v>30</v>
      </c>
      <c r="C41" s="322"/>
      <c r="D41" s="322"/>
      <c r="E41" s="323"/>
      <c r="F41" s="68"/>
      <c r="G41" s="69"/>
      <c r="H41" s="69"/>
      <c r="I41" s="69"/>
      <c r="J41" s="69"/>
      <c r="K41" s="69"/>
      <c r="L41" s="69"/>
      <c r="M41" s="69"/>
      <c r="N41" s="70"/>
      <c r="O41" s="1"/>
      <c r="P41" s="321" t="s">
        <v>31</v>
      </c>
      <c r="Q41" s="322"/>
      <c r="R41" s="322"/>
      <c r="S41" s="323"/>
      <c r="T41" s="68"/>
      <c r="U41" s="69"/>
      <c r="V41" s="69"/>
      <c r="W41" s="69"/>
      <c r="X41" s="69"/>
      <c r="Y41" s="69"/>
      <c r="Z41" s="69"/>
      <c r="AA41" s="69"/>
      <c r="AB41" s="70"/>
      <c r="AC41" s="1"/>
      <c r="AD41" s="321" t="s">
        <v>32</v>
      </c>
      <c r="AE41" s="322"/>
      <c r="AF41" s="322"/>
      <c r="AG41" s="323"/>
      <c r="AH41" s="68"/>
      <c r="AI41" s="69"/>
      <c r="AJ41" s="69"/>
      <c r="AK41" s="69"/>
      <c r="AL41" s="69"/>
      <c r="AM41" s="69"/>
      <c r="AN41" s="69"/>
      <c r="AO41" s="69"/>
      <c r="AP41" s="70"/>
      <c r="AQ41" s="1"/>
      <c r="AR41" s="321" t="s">
        <v>33</v>
      </c>
      <c r="AS41" s="322"/>
      <c r="AT41" s="322"/>
      <c r="AU41" s="323"/>
      <c r="AV41" s="68"/>
      <c r="AW41" s="69"/>
      <c r="AX41" s="69"/>
      <c r="AY41" s="69"/>
      <c r="AZ41" s="69"/>
      <c r="BA41" s="69"/>
      <c r="BB41" s="69"/>
      <c r="BC41" s="69"/>
      <c r="BD41" s="70"/>
      <c r="BE41" s="1"/>
      <c r="BF41" s="321" t="s">
        <v>34</v>
      </c>
      <c r="BG41" s="322"/>
      <c r="BH41" s="322"/>
      <c r="BI41" s="323"/>
      <c r="BJ41" s="68"/>
      <c r="BK41" s="69"/>
      <c r="BL41" s="69"/>
      <c r="BM41" s="69"/>
      <c r="BN41" s="69"/>
      <c r="BO41" s="69"/>
      <c r="BP41" s="69"/>
      <c r="BQ41" s="69"/>
      <c r="BR41" s="70"/>
      <c r="BS41" s="52"/>
    </row>
    <row r="42" spans="1:71" s="63" customFormat="1" ht="9" customHeight="1" x14ac:dyDescent="0.25">
      <c r="A42" s="58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1"/>
      <c r="O42" s="60"/>
      <c r="P42" s="59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1"/>
      <c r="AC42" s="60"/>
      <c r="AD42" s="59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1"/>
      <c r="AQ42" s="60"/>
      <c r="AR42" s="59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1"/>
      <c r="BE42" s="60"/>
      <c r="BF42" s="59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1"/>
      <c r="BS42" s="62"/>
    </row>
    <row r="43" spans="1:71" s="50" customFormat="1" ht="9" customHeight="1" x14ac:dyDescent="0.25">
      <c r="A43" s="49"/>
      <c r="B43" s="59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0"/>
      <c r="P43" s="59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1"/>
      <c r="AC43" s="60"/>
      <c r="AD43" s="59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1"/>
      <c r="AQ43" s="60"/>
      <c r="AR43" s="59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1"/>
      <c r="BE43" s="60"/>
      <c r="BF43" s="59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1"/>
      <c r="BS43" s="52"/>
    </row>
    <row r="44" spans="1:71" s="50" customFormat="1" ht="9" customHeight="1" x14ac:dyDescent="0.25">
      <c r="A44" s="49"/>
      <c r="B44" s="59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1"/>
      <c r="O44" s="60"/>
      <c r="P44" s="59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1"/>
      <c r="AC44" s="60"/>
      <c r="AD44" s="59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1"/>
      <c r="AQ44" s="60"/>
      <c r="AR44" s="59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1"/>
      <c r="BE44" s="60"/>
      <c r="BF44" s="59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1"/>
      <c r="BS44" s="52"/>
    </row>
    <row r="45" spans="1:71" s="50" customFormat="1" ht="9" customHeight="1" x14ac:dyDescent="0.25">
      <c r="A45" s="49"/>
      <c r="B45" s="59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1"/>
      <c r="O45" s="60"/>
      <c r="P45" s="59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1"/>
      <c r="AC45" s="60"/>
      <c r="AD45" s="59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1"/>
      <c r="AQ45" s="60"/>
      <c r="AR45" s="59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1"/>
      <c r="BE45" s="60"/>
      <c r="BF45" s="59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1"/>
      <c r="BS45" s="52"/>
    </row>
    <row r="46" spans="1:71" s="50" customFormat="1" ht="9" customHeight="1" x14ac:dyDescent="0.25">
      <c r="A46" s="49"/>
      <c r="B46" s="59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1"/>
      <c r="O46" s="60"/>
      <c r="P46" s="59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1"/>
      <c r="AC46" s="60"/>
      <c r="AD46" s="59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1"/>
      <c r="AQ46" s="60"/>
      <c r="AR46" s="59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1"/>
      <c r="BE46" s="60"/>
      <c r="BF46" s="59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1"/>
      <c r="BS46" s="52"/>
    </row>
    <row r="47" spans="1:71" s="50" customFormat="1" ht="9" customHeight="1" x14ac:dyDescent="0.25">
      <c r="A47" s="49"/>
      <c r="B47" s="59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1"/>
      <c r="O47" s="60"/>
      <c r="P47" s="59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1"/>
      <c r="AC47" s="60"/>
      <c r="AD47" s="59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1"/>
      <c r="AQ47" s="60"/>
      <c r="AR47" s="59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1"/>
      <c r="BE47" s="60"/>
      <c r="BF47" s="59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1"/>
      <c r="BS47" s="52"/>
    </row>
    <row r="48" spans="1:71" s="50" customFormat="1" ht="9" customHeight="1" x14ac:dyDescent="0.25">
      <c r="A48" s="49"/>
      <c r="B48" s="59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1"/>
      <c r="O48" s="60"/>
      <c r="P48" s="59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1"/>
      <c r="AC48" s="60"/>
      <c r="AD48" s="59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1"/>
      <c r="AQ48" s="60"/>
      <c r="AR48" s="59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1"/>
      <c r="BE48" s="60"/>
      <c r="BF48" s="59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1"/>
      <c r="BS48" s="52"/>
    </row>
    <row r="49" spans="1:71" s="50" customFormat="1" ht="9" customHeight="1" x14ac:dyDescent="0.25">
      <c r="A49" s="49"/>
      <c r="B49" s="59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1"/>
      <c r="O49" s="60"/>
      <c r="P49" s="59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1"/>
      <c r="AC49" s="60"/>
      <c r="AD49" s="59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1"/>
      <c r="AQ49" s="60"/>
      <c r="AR49" s="59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1"/>
      <c r="BE49" s="60"/>
      <c r="BF49" s="59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1"/>
      <c r="BS49" s="52"/>
    </row>
    <row r="50" spans="1:71" s="50" customFormat="1" ht="9" customHeight="1" x14ac:dyDescent="0.25">
      <c r="A50" s="49"/>
      <c r="B50" s="59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1"/>
      <c r="O50" s="60"/>
      <c r="P50" s="59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1"/>
      <c r="AC50" s="60"/>
      <c r="AD50" s="59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1"/>
      <c r="AQ50" s="60"/>
      <c r="AR50" s="59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1"/>
      <c r="BE50" s="60"/>
      <c r="BF50" s="59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1"/>
      <c r="BS50" s="52"/>
    </row>
    <row r="51" spans="1:71" s="50" customFormat="1" ht="9" customHeight="1" x14ac:dyDescent="0.25">
      <c r="A51" s="49"/>
      <c r="B51" s="54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6"/>
      <c r="O51" s="60"/>
      <c r="P51" s="54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6"/>
      <c r="AC51" s="60"/>
      <c r="AD51" s="54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6"/>
      <c r="AQ51" s="60"/>
      <c r="AR51" s="54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6"/>
      <c r="BE51" s="60"/>
      <c r="BF51" s="54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6"/>
      <c r="BS51" s="52"/>
    </row>
    <row r="52" spans="1:71" s="50" customFormat="1" ht="9" customHeight="1" x14ac:dyDescent="0.25">
      <c r="A52" s="49"/>
      <c r="B52" s="54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6"/>
      <c r="O52" s="60"/>
      <c r="P52" s="54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6"/>
      <c r="AC52" s="60"/>
      <c r="AD52" s="54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6"/>
      <c r="AQ52" s="60"/>
      <c r="AR52" s="54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6"/>
      <c r="BE52" s="60"/>
      <c r="BF52" s="54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6"/>
      <c r="BS52" s="52"/>
    </row>
    <row r="53" spans="1:71" s="50" customFormat="1" ht="9" customHeight="1" x14ac:dyDescent="0.2">
      <c r="A53" s="49"/>
      <c r="B53" s="64"/>
      <c r="C53" s="65"/>
      <c r="D53" s="65"/>
      <c r="E53" s="65"/>
      <c r="F53" s="65"/>
      <c r="G53" s="65"/>
      <c r="H53" s="65"/>
      <c r="I53" s="65"/>
      <c r="J53" s="65"/>
      <c r="K53" s="65"/>
      <c r="L53" s="55"/>
      <c r="M53" s="55"/>
      <c r="N53" s="56"/>
      <c r="O53" s="66"/>
      <c r="P53" s="64"/>
      <c r="Q53" s="65"/>
      <c r="R53" s="65"/>
      <c r="S53" s="65"/>
      <c r="T53" s="65"/>
      <c r="U53" s="65"/>
      <c r="V53" s="65"/>
      <c r="W53" s="65"/>
      <c r="X53" s="65"/>
      <c r="Y53" s="65"/>
      <c r="Z53" s="55"/>
      <c r="AA53" s="55"/>
      <c r="AB53" s="56"/>
      <c r="AC53" s="66"/>
      <c r="AD53" s="64"/>
      <c r="AE53" s="65"/>
      <c r="AF53" s="65"/>
      <c r="AG53" s="65"/>
      <c r="AH53" s="65"/>
      <c r="AI53" s="65"/>
      <c r="AJ53" s="65"/>
      <c r="AK53" s="65"/>
      <c r="AL53" s="65"/>
      <c r="AM53" s="65"/>
      <c r="AN53" s="55"/>
      <c r="AO53" s="55"/>
      <c r="AP53" s="56"/>
      <c r="AQ53" s="66"/>
      <c r="AR53" s="64"/>
      <c r="AS53" s="65"/>
      <c r="AT53" s="65"/>
      <c r="AU53" s="65"/>
      <c r="AV53" s="65"/>
      <c r="AW53" s="65"/>
      <c r="AX53" s="65"/>
      <c r="AY53" s="65"/>
      <c r="AZ53" s="65"/>
      <c r="BA53" s="65"/>
      <c r="BB53" s="55"/>
      <c r="BC53" s="55"/>
      <c r="BD53" s="56"/>
      <c r="BE53" s="66"/>
      <c r="BF53" s="353" t="s">
        <v>35</v>
      </c>
      <c r="BG53" s="354"/>
      <c r="BH53" s="354"/>
      <c r="BI53" s="354"/>
      <c r="BJ53" s="354"/>
      <c r="BK53" s="354"/>
      <c r="BL53" s="354"/>
      <c r="BM53" s="354"/>
      <c r="BN53" s="354"/>
      <c r="BO53" s="354"/>
      <c r="BP53" s="354"/>
      <c r="BQ53" s="354"/>
      <c r="BR53" s="355"/>
      <c r="BS53" s="52"/>
    </row>
    <row r="54" spans="1:71" s="50" customFormat="1" ht="9" customHeight="1" x14ac:dyDescent="0.2">
      <c r="A54" s="49"/>
      <c r="B54" s="353" t="s">
        <v>28</v>
      </c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5"/>
      <c r="O54" s="66"/>
      <c r="P54" s="353" t="s">
        <v>28</v>
      </c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5"/>
      <c r="AC54" s="66"/>
      <c r="AD54" s="353" t="s">
        <v>28</v>
      </c>
      <c r="AE54" s="354"/>
      <c r="AF54" s="354"/>
      <c r="AG54" s="354"/>
      <c r="AH54" s="354"/>
      <c r="AI54" s="354"/>
      <c r="AJ54" s="354"/>
      <c r="AK54" s="354"/>
      <c r="AL54" s="354"/>
      <c r="AM54" s="354"/>
      <c r="AN54" s="354"/>
      <c r="AO54" s="354"/>
      <c r="AP54" s="355"/>
      <c r="AQ54" s="66"/>
      <c r="AR54" s="353" t="s">
        <v>28</v>
      </c>
      <c r="AS54" s="354"/>
      <c r="AT54" s="354"/>
      <c r="AU54" s="354"/>
      <c r="AV54" s="354"/>
      <c r="AW54" s="354"/>
      <c r="AX54" s="354"/>
      <c r="AY54" s="354"/>
      <c r="AZ54" s="354"/>
      <c r="BA54" s="354"/>
      <c r="BB54" s="354"/>
      <c r="BC54" s="354"/>
      <c r="BD54" s="355"/>
      <c r="BE54" s="66"/>
      <c r="BF54" s="353" t="s">
        <v>36</v>
      </c>
      <c r="BG54" s="354"/>
      <c r="BH54" s="354"/>
      <c r="BI54" s="354"/>
      <c r="BJ54" s="354"/>
      <c r="BK54" s="354"/>
      <c r="BL54" s="354"/>
      <c r="BM54" s="354"/>
      <c r="BN54" s="354"/>
      <c r="BO54" s="354"/>
      <c r="BP54" s="354"/>
      <c r="BQ54" s="354"/>
      <c r="BR54" s="355"/>
      <c r="BS54" s="52"/>
    </row>
    <row r="55" spans="1:71" s="50" customFormat="1" ht="9" customHeight="1" x14ac:dyDescent="0.15">
      <c r="A55" s="49"/>
      <c r="B55" s="239" t="s">
        <v>29</v>
      </c>
      <c r="C55" s="239"/>
      <c r="D55" s="239"/>
      <c r="E55" s="239"/>
      <c r="F55" s="239"/>
      <c r="G55" s="239"/>
      <c r="H55" s="239"/>
      <c r="I55" s="239"/>
      <c r="J55" s="239"/>
      <c r="K55" s="239"/>
      <c r="L55" s="240">
        <f>CEILING(2415*B4,1)</f>
        <v>4589</v>
      </c>
      <c r="M55" s="240"/>
      <c r="N55" s="240"/>
      <c r="O55" s="67"/>
      <c r="P55" s="239" t="s">
        <v>29</v>
      </c>
      <c r="Q55" s="239"/>
      <c r="R55" s="239"/>
      <c r="S55" s="239"/>
      <c r="T55" s="239"/>
      <c r="U55" s="239"/>
      <c r="V55" s="239"/>
      <c r="W55" s="239"/>
      <c r="X55" s="239"/>
      <c r="Y55" s="239"/>
      <c r="Z55" s="240">
        <f>CEILING(2482*B4,1)</f>
        <v>4716</v>
      </c>
      <c r="AA55" s="240"/>
      <c r="AB55" s="240"/>
      <c r="AC55" s="67"/>
      <c r="AD55" s="239" t="s">
        <v>29</v>
      </c>
      <c r="AE55" s="239"/>
      <c r="AF55" s="239"/>
      <c r="AG55" s="239"/>
      <c r="AH55" s="239"/>
      <c r="AI55" s="239"/>
      <c r="AJ55" s="239"/>
      <c r="AK55" s="239"/>
      <c r="AL55" s="239"/>
      <c r="AM55" s="239"/>
      <c r="AN55" s="240">
        <f>CEILING(2482*B4,1)</f>
        <v>4716</v>
      </c>
      <c r="AO55" s="240"/>
      <c r="AP55" s="240"/>
      <c r="AQ55" s="67"/>
      <c r="AR55" s="239" t="s">
        <v>29</v>
      </c>
      <c r="AS55" s="239"/>
      <c r="AT55" s="239"/>
      <c r="AU55" s="239"/>
      <c r="AV55" s="239"/>
      <c r="AW55" s="239"/>
      <c r="AX55" s="239"/>
      <c r="AY55" s="239"/>
      <c r="AZ55" s="239"/>
      <c r="BA55" s="239"/>
      <c r="BB55" s="240">
        <f>CEILING(3051*B4,1)</f>
        <v>5797</v>
      </c>
      <c r="BC55" s="240"/>
      <c r="BD55" s="240"/>
      <c r="BE55" s="67"/>
      <c r="BF55" s="239" t="s">
        <v>37</v>
      </c>
      <c r="BG55" s="239"/>
      <c r="BH55" s="239"/>
      <c r="BI55" s="239"/>
      <c r="BJ55" s="239"/>
      <c r="BK55" s="239"/>
      <c r="BL55" s="239"/>
      <c r="BM55" s="239"/>
      <c r="BN55" s="239"/>
      <c r="BO55" s="239"/>
      <c r="BP55" s="240">
        <f>CEILING(2319*B4,1)</f>
        <v>4407</v>
      </c>
      <c r="BQ55" s="240"/>
      <c r="BR55" s="240"/>
      <c r="BS55" s="52"/>
    </row>
    <row r="56" spans="1:71" s="50" customFormat="1" ht="2.1" customHeight="1" x14ac:dyDescent="0.25">
      <c r="A56" s="49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52"/>
    </row>
    <row r="57" spans="1:71" ht="9" customHeight="1" x14ac:dyDescent="0.25">
      <c r="A57" s="48"/>
      <c r="B57" s="321" t="s">
        <v>38</v>
      </c>
      <c r="C57" s="322"/>
      <c r="D57" s="322"/>
      <c r="E57" s="323"/>
      <c r="F57" s="72"/>
      <c r="G57" s="72"/>
      <c r="H57" s="72"/>
      <c r="I57" s="72"/>
      <c r="J57" s="72"/>
      <c r="K57" s="72"/>
      <c r="L57" s="72"/>
      <c r="M57" s="72"/>
      <c r="N57" s="73"/>
      <c r="O57" s="60"/>
      <c r="P57" s="321" t="s">
        <v>39</v>
      </c>
      <c r="Q57" s="322"/>
      <c r="R57" s="322"/>
      <c r="S57" s="323"/>
      <c r="T57" s="72"/>
      <c r="U57" s="72"/>
      <c r="V57" s="72"/>
      <c r="W57" s="72"/>
      <c r="X57" s="72"/>
      <c r="Y57" s="72"/>
      <c r="Z57" s="72"/>
      <c r="AA57" s="72"/>
      <c r="AB57" s="73"/>
      <c r="AC57" s="60"/>
      <c r="AD57" s="321" t="s">
        <v>40</v>
      </c>
      <c r="AE57" s="322"/>
      <c r="AF57" s="322"/>
      <c r="AG57" s="323"/>
      <c r="AH57" s="72"/>
      <c r="AI57" s="72"/>
      <c r="AJ57" s="72"/>
      <c r="AK57" s="72"/>
      <c r="AL57" s="72"/>
      <c r="AM57" s="72"/>
      <c r="AN57" s="72"/>
      <c r="AO57" s="72"/>
      <c r="AP57" s="73"/>
      <c r="AQ57" s="60"/>
      <c r="AR57" s="321" t="s">
        <v>41</v>
      </c>
      <c r="AS57" s="322"/>
      <c r="AT57" s="322"/>
      <c r="AU57" s="323"/>
      <c r="AV57" s="72"/>
      <c r="AW57" s="72"/>
      <c r="AX57" s="72"/>
      <c r="AY57" s="72"/>
      <c r="AZ57" s="72"/>
      <c r="BA57" s="72"/>
      <c r="BB57" s="72"/>
      <c r="BC57" s="72"/>
      <c r="BD57" s="73"/>
      <c r="BE57" s="60"/>
      <c r="BF57" s="321" t="s">
        <v>42</v>
      </c>
      <c r="BG57" s="322"/>
      <c r="BH57" s="322"/>
      <c r="BI57" s="323"/>
      <c r="BJ57" s="72"/>
      <c r="BK57" s="72"/>
      <c r="BL57" s="72"/>
      <c r="BM57" s="72"/>
      <c r="BN57" s="72"/>
      <c r="BO57" s="72"/>
      <c r="BP57" s="72"/>
      <c r="BQ57" s="72"/>
      <c r="BR57" s="73"/>
      <c r="BS57" s="47"/>
    </row>
    <row r="58" spans="1:71" ht="9" customHeight="1" x14ac:dyDescent="0.25">
      <c r="A58" s="48"/>
      <c r="B58" s="59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1"/>
      <c r="O58" s="60"/>
      <c r="P58" s="59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1"/>
      <c r="AC58" s="60"/>
      <c r="AD58" s="59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1"/>
      <c r="AQ58" s="60"/>
      <c r="AR58" s="347" t="s">
        <v>43</v>
      </c>
      <c r="AS58" s="348"/>
      <c r="AT58" s="348"/>
      <c r="AU58" s="348"/>
      <c r="AV58" s="348"/>
      <c r="AW58" s="348"/>
      <c r="AX58" s="348"/>
      <c r="AY58" s="348"/>
      <c r="AZ58" s="348"/>
      <c r="BA58" s="348"/>
      <c r="BB58" s="348"/>
      <c r="BC58" s="348"/>
      <c r="BD58" s="349"/>
      <c r="BE58" s="60"/>
      <c r="BF58" s="347" t="s">
        <v>43</v>
      </c>
      <c r="BG58" s="348"/>
      <c r="BH58" s="348"/>
      <c r="BI58" s="348"/>
      <c r="BJ58" s="348"/>
      <c r="BK58" s="348"/>
      <c r="BL58" s="348"/>
      <c r="BM58" s="348"/>
      <c r="BN58" s="348"/>
      <c r="BO58" s="348"/>
      <c r="BP58" s="348"/>
      <c r="BQ58" s="348"/>
      <c r="BR58" s="349"/>
      <c r="BS58" s="47"/>
    </row>
    <row r="59" spans="1:71" ht="9" customHeight="1" x14ac:dyDescent="0.25">
      <c r="A59" s="48"/>
      <c r="B59" s="59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1"/>
      <c r="O59" s="60"/>
      <c r="P59" s="59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1"/>
      <c r="AC59" s="60"/>
      <c r="AD59" s="59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1"/>
      <c r="AQ59" s="60"/>
      <c r="AR59" s="59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1"/>
      <c r="BE59" s="60"/>
      <c r="BF59" s="59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1"/>
      <c r="BS59" s="47"/>
    </row>
    <row r="60" spans="1:71" ht="9" customHeight="1" x14ac:dyDescent="0.25">
      <c r="A60" s="48"/>
      <c r="B60" s="59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1"/>
      <c r="O60" s="60"/>
      <c r="P60" s="59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1"/>
      <c r="AC60" s="60"/>
      <c r="AD60" s="59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1"/>
      <c r="AQ60" s="60"/>
      <c r="AR60" s="59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1"/>
      <c r="BE60" s="60"/>
      <c r="BF60" s="59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1"/>
      <c r="BS60" s="47"/>
    </row>
    <row r="61" spans="1:71" ht="9" customHeight="1" x14ac:dyDescent="0.25">
      <c r="A61" s="48"/>
      <c r="B61" s="59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1"/>
      <c r="O61" s="60"/>
      <c r="P61" s="59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1"/>
      <c r="AC61" s="60"/>
      <c r="AD61" s="59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1"/>
      <c r="AQ61" s="60"/>
      <c r="AR61" s="59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1"/>
      <c r="BE61" s="60"/>
      <c r="BF61" s="59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1"/>
      <c r="BS61" s="47"/>
    </row>
    <row r="62" spans="1:71" ht="9" customHeight="1" x14ac:dyDescent="0.25">
      <c r="A62" s="48"/>
      <c r="B62" s="59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1"/>
      <c r="O62" s="60"/>
      <c r="P62" s="59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1"/>
      <c r="AC62" s="60"/>
      <c r="AD62" s="59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1"/>
      <c r="AQ62" s="60"/>
      <c r="AR62" s="59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1"/>
      <c r="BE62" s="60"/>
      <c r="BF62" s="59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1"/>
      <c r="BS62" s="47"/>
    </row>
    <row r="63" spans="1:71" ht="9" customHeight="1" x14ac:dyDescent="0.25">
      <c r="A63" s="48"/>
      <c r="B63" s="59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1"/>
      <c r="O63" s="60"/>
      <c r="P63" s="59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1"/>
      <c r="AC63" s="60"/>
      <c r="AD63" s="59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1"/>
      <c r="AQ63" s="60"/>
      <c r="AR63" s="59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1"/>
      <c r="BE63" s="60"/>
      <c r="BF63" s="59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1"/>
      <c r="BS63" s="47"/>
    </row>
    <row r="64" spans="1:71" ht="9" customHeight="1" x14ac:dyDescent="0.25">
      <c r="A64" s="48"/>
      <c r="B64" s="59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1"/>
      <c r="O64" s="60"/>
      <c r="P64" s="59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1"/>
      <c r="AC64" s="60"/>
      <c r="AD64" s="59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1"/>
      <c r="AQ64" s="60"/>
      <c r="AR64" s="59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1"/>
      <c r="BE64" s="60"/>
      <c r="BF64" s="59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1"/>
      <c r="BS64" s="47"/>
    </row>
    <row r="65" spans="1:71" ht="9" customHeight="1" x14ac:dyDescent="0.25">
      <c r="A65" s="48"/>
      <c r="B65" s="59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1"/>
      <c r="O65" s="60"/>
      <c r="P65" s="59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1"/>
      <c r="AC65" s="60"/>
      <c r="AD65" s="59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1"/>
      <c r="AQ65" s="60"/>
      <c r="AR65" s="59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1"/>
      <c r="BE65" s="60"/>
      <c r="BF65" s="59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1"/>
      <c r="BS65" s="47"/>
    </row>
    <row r="66" spans="1:71" ht="9" customHeight="1" x14ac:dyDescent="0.25">
      <c r="A66" s="48"/>
      <c r="B66" s="59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1"/>
      <c r="O66" s="60"/>
      <c r="P66" s="59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1"/>
      <c r="AC66" s="60"/>
      <c r="AD66" s="59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1"/>
      <c r="AQ66" s="60"/>
      <c r="AR66" s="54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6"/>
      <c r="BE66" s="60"/>
      <c r="BF66" s="54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6"/>
      <c r="BS66" s="47"/>
    </row>
    <row r="67" spans="1:71" ht="9" customHeight="1" x14ac:dyDescent="0.25">
      <c r="A67" s="48"/>
      <c r="B67" s="239" t="s">
        <v>44</v>
      </c>
      <c r="C67" s="239"/>
      <c r="D67" s="239"/>
      <c r="E67" s="239"/>
      <c r="F67" s="239"/>
      <c r="G67" s="239"/>
      <c r="H67" s="239"/>
      <c r="I67" s="239"/>
      <c r="J67" s="239"/>
      <c r="K67" s="239"/>
      <c r="L67" s="240">
        <f>CEILING(655*B4,1)</f>
        <v>1245</v>
      </c>
      <c r="M67" s="240"/>
      <c r="N67" s="240"/>
      <c r="O67" s="60"/>
      <c r="P67" s="64"/>
      <c r="Q67" s="65"/>
      <c r="R67" s="65"/>
      <c r="S67" s="65"/>
      <c r="T67" s="65"/>
      <c r="U67" s="65"/>
      <c r="V67" s="65"/>
      <c r="W67" s="65"/>
      <c r="X67" s="65"/>
      <c r="Y67" s="65"/>
      <c r="Z67" s="55"/>
      <c r="AA67" s="55"/>
      <c r="AB67" s="56"/>
      <c r="AC67" s="60"/>
      <c r="AD67" s="64"/>
      <c r="AE67" s="65"/>
      <c r="AF67" s="65"/>
      <c r="AG67" s="65"/>
      <c r="AH67" s="65"/>
      <c r="AI67" s="65"/>
      <c r="AJ67" s="65"/>
      <c r="AK67" s="65"/>
      <c r="AL67" s="65"/>
      <c r="AM67" s="65"/>
      <c r="AN67" s="55"/>
      <c r="AO67" s="55"/>
      <c r="AP67" s="56"/>
      <c r="AQ67" s="60"/>
      <c r="AR67" s="64"/>
      <c r="AS67" s="65"/>
      <c r="AT67" s="65"/>
      <c r="AU67" s="65"/>
      <c r="AV67" s="65"/>
      <c r="AW67" s="65"/>
      <c r="AX67" s="65"/>
      <c r="AY67" s="65"/>
      <c r="AZ67" s="65"/>
      <c r="BA67" s="65"/>
      <c r="BB67" s="55"/>
      <c r="BC67" s="55"/>
      <c r="BD67" s="56"/>
      <c r="BE67" s="60"/>
      <c r="BF67" s="64"/>
      <c r="BG67" s="65"/>
      <c r="BH67" s="65"/>
      <c r="BI67" s="65"/>
      <c r="BJ67" s="65"/>
      <c r="BK67" s="65"/>
      <c r="BL67" s="65"/>
      <c r="BM67" s="65"/>
      <c r="BN67" s="65"/>
      <c r="BO67" s="65"/>
      <c r="BP67" s="55"/>
      <c r="BQ67" s="55"/>
      <c r="BR67" s="56"/>
      <c r="BS67" s="47"/>
    </row>
    <row r="68" spans="1:71" ht="9" customHeight="1" x14ac:dyDescent="0.25">
      <c r="A68" s="48"/>
      <c r="B68" s="239" t="s">
        <v>45</v>
      </c>
      <c r="C68" s="239"/>
      <c r="D68" s="239"/>
      <c r="E68" s="239"/>
      <c r="F68" s="239"/>
      <c r="G68" s="239"/>
      <c r="H68" s="239"/>
      <c r="I68" s="239"/>
      <c r="J68" s="239"/>
      <c r="K68" s="239"/>
      <c r="L68" s="240">
        <f>CEILING(1326*B4,1)</f>
        <v>2520</v>
      </c>
      <c r="M68" s="240"/>
      <c r="N68" s="240"/>
      <c r="O68" s="74"/>
      <c r="P68" s="239" t="s">
        <v>44</v>
      </c>
      <c r="Q68" s="239"/>
      <c r="R68" s="239"/>
      <c r="S68" s="239"/>
      <c r="T68" s="239"/>
      <c r="U68" s="239"/>
      <c r="V68" s="239"/>
      <c r="W68" s="239"/>
      <c r="X68" s="239"/>
      <c r="Y68" s="239"/>
      <c r="Z68" s="240">
        <f>CEILING(655*B4,1)</f>
        <v>1245</v>
      </c>
      <c r="AA68" s="240"/>
      <c r="AB68" s="240"/>
      <c r="AC68" s="74"/>
      <c r="AD68" s="239" t="s">
        <v>46</v>
      </c>
      <c r="AE68" s="239"/>
      <c r="AF68" s="239"/>
      <c r="AG68" s="239"/>
      <c r="AH68" s="239"/>
      <c r="AI68" s="239"/>
      <c r="AJ68" s="239"/>
      <c r="AK68" s="239"/>
      <c r="AL68" s="239"/>
      <c r="AM68" s="239"/>
      <c r="AN68" s="240">
        <f>CEILING(624*B4,1)</f>
        <v>1186</v>
      </c>
      <c r="AO68" s="240"/>
      <c r="AP68" s="240"/>
      <c r="AQ68" s="60"/>
      <c r="AR68" s="353" t="s">
        <v>47</v>
      </c>
      <c r="AS68" s="354"/>
      <c r="AT68" s="354"/>
      <c r="AU68" s="354"/>
      <c r="AV68" s="354"/>
      <c r="AW68" s="354"/>
      <c r="AX68" s="354"/>
      <c r="AY68" s="354"/>
      <c r="AZ68" s="354"/>
      <c r="BA68" s="354"/>
      <c r="BB68" s="354"/>
      <c r="BC68" s="354"/>
      <c r="BD68" s="355"/>
      <c r="BE68" s="60"/>
      <c r="BF68" s="353" t="s">
        <v>48</v>
      </c>
      <c r="BG68" s="354"/>
      <c r="BH68" s="354"/>
      <c r="BI68" s="354"/>
      <c r="BJ68" s="354"/>
      <c r="BK68" s="354"/>
      <c r="BL68" s="354"/>
      <c r="BM68" s="354"/>
      <c r="BN68" s="354"/>
      <c r="BO68" s="354"/>
      <c r="BP68" s="354"/>
      <c r="BQ68" s="354"/>
      <c r="BR68" s="355"/>
      <c r="BS68" s="47"/>
    </row>
    <row r="69" spans="1:71" ht="9" customHeight="1" x14ac:dyDescent="0.25">
      <c r="A69" s="48"/>
      <c r="B69" s="239" t="s">
        <v>49</v>
      </c>
      <c r="C69" s="239"/>
      <c r="D69" s="239"/>
      <c r="E69" s="239"/>
      <c r="F69" s="239"/>
      <c r="G69" s="239"/>
      <c r="H69" s="239"/>
      <c r="I69" s="239"/>
      <c r="J69" s="239"/>
      <c r="K69" s="239"/>
      <c r="L69" s="240">
        <f>CEILING(1630*B4,1)</f>
        <v>3097</v>
      </c>
      <c r="M69" s="240"/>
      <c r="N69" s="240"/>
      <c r="O69" s="75"/>
      <c r="P69" s="239" t="s">
        <v>50</v>
      </c>
      <c r="Q69" s="239"/>
      <c r="R69" s="239"/>
      <c r="S69" s="239"/>
      <c r="T69" s="239"/>
      <c r="U69" s="239"/>
      <c r="V69" s="239"/>
      <c r="W69" s="239"/>
      <c r="X69" s="239"/>
      <c r="Y69" s="239"/>
      <c r="Z69" s="240">
        <f>CEILING(1483*B4,1)</f>
        <v>2818</v>
      </c>
      <c r="AA69" s="240"/>
      <c r="AB69" s="240"/>
      <c r="AC69" s="75"/>
      <c r="AD69" s="239" t="s">
        <v>51</v>
      </c>
      <c r="AE69" s="239"/>
      <c r="AF69" s="239"/>
      <c r="AG69" s="239"/>
      <c r="AH69" s="239"/>
      <c r="AI69" s="239"/>
      <c r="AJ69" s="239"/>
      <c r="AK69" s="239"/>
      <c r="AL69" s="239"/>
      <c r="AM69" s="239"/>
      <c r="AN69" s="240">
        <f>CEILING(1483*B4,1)</f>
        <v>2818</v>
      </c>
      <c r="AO69" s="240"/>
      <c r="AP69" s="240"/>
      <c r="AQ69" s="76"/>
      <c r="AR69" s="239" t="s">
        <v>52</v>
      </c>
      <c r="AS69" s="239"/>
      <c r="AT69" s="239"/>
      <c r="AU69" s="239"/>
      <c r="AV69" s="239"/>
      <c r="AW69" s="239"/>
      <c r="AX69" s="239"/>
      <c r="AY69" s="239"/>
      <c r="AZ69" s="239"/>
      <c r="BA69" s="239"/>
      <c r="BB69" s="240">
        <f>CEILING(1005*B4,1)</f>
        <v>1910</v>
      </c>
      <c r="BC69" s="240"/>
      <c r="BD69" s="240"/>
      <c r="BE69" s="75"/>
      <c r="BF69" s="239" t="s">
        <v>53</v>
      </c>
      <c r="BG69" s="239"/>
      <c r="BH69" s="239"/>
      <c r="BI69" s="239"/>
      <c r="BJ69" s="239"/>
      <c r="BK69" s="239"/>
      <c r="BL69" s="239"/>
      <c r="BM69" s="239"/>
      <c r="BN69" s="239"/>
      <c r="BO69" s="239"/>
      <c r="BP69" s="240">
        <f>CEILING(1764*B4,1)</f>
        <v>3352</v>
      </c>
      <c r="BQ69" s="240"/>
      <c r="BR69" s="240"/>
      <c r="BS69" s="47"/>
    </row>
    <row r="70" spans="1:71" ht="1.5" customHeight="1" x14ac:dyDescent="0.25">
      <c r="A70" s="48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47"/>
    </row>
    <row r="71" spans="1:71" ht="9" customHeight="1" x14ac:dyDescent="0.25">
      <c r="A71" s="48"/>
      <c r="B71" s="321" t="s">
        <v>54</v>
      </c>
      <c r="C71" s="322"/>
      <c r="D71" s="322"/>
      <c r="E71" s="323"/>
      <c r="F71" s="77"/>
      <c r="G71" s="78"/>
      <c r="H71" s="78"/>
      <c r="I71" s="78"/>
      <c r="J71" s="78"/>
      <c r="K71" s="78"/>
      <c r="L71" s="78"/>
      <c r="M71" s="78"/>
      <c r="N71" s="79"/>
      <c r="O71" s="60"/>
      <c r="P71" s="321" t="s">
        <v>55</v>
      </c>
      <c r="Q71" s="322"/>
      <c r="R71" s="322"/>
      <c r="S71" s="323"/>
      <c r="T71" s="78"/>
      <c r="U71" s="78"/>
      <c r="V71" s="78"/>
      <c r="W71" s="78"/>
      <c r="X71" s="78"/>
      <c r="Y71" s="78"/>
      <c r="Z71" s="78"/>
      <c r="AA71" s="78"/>
      <c r="AB71" s="79"/>
      <c r="AC71" s="60"/>
      <c r="AD71" s="321" t="s">
        <v>56</v>
      </c>
      <c r="AE71" s="322"/>
      <c r="AF71" s="322"/>
      <c r="AG71" s="323"/>
      <c r="AH71" s="77"/>
      <c r="AI71" s="78"/>
      <c r="AJ71" s="78"/>
      <c r="AK71" s="78"/>
      <c r="AL71" s="78"/>
      <c r="AM71" s="78"/>
      <c r="AN71" s="78"/>
      <c r="AO71" s="78"/>
      <c r="AP71" s="79"/>
      <c r="AQ71" s="60"/>
      <c r="AR71" s="321" t="s">
        <v>57</v>
      </c>
      <c r="AS71" s="322"/>
      <c r="AT71" s="322"/>
      <c r="AU71" s="323"/>
      <c r="AV71" s="77"/>
      <c r="AW71" s="78"/>
      <c r="AX71" s="78"/>
      <c r="AY71" s="78"/>
      <c r="AZ71" s="78"/>
      <c r="BA71" s="78"/>
      <c r="BB71" s="78"/>
      <c r="BC71" s="78"/>
      <c r="BD71" s="79"/>
      <c r="BE71" s="60"/>
      <c r="BF71" s="321" t="s">
        <v>58</v>
      </c>
      <c r="BG71" s="322"/>
      <c r="BH71" s="322"/>
      <c r="BI71" s="323"/>
      <c r="BJ71" s="72"/>
      <c r="BK71" s="72"/>
      <c r="BL71" s="72"/>
      <c r="BM71" s="72"/>
      <c r="BN71" s="72"/>
      <c r="BO71" s="72"/>
      <c r="BP71" s="72"/>
      <c r="BQ71" s="72"/>
      <c r="BR71" s="73"/>
      <c r="BS71" s="47"/>
    </row>
    <row r="72" spans="1:71" ht="9" customHeight="1" x14ac:dyDescent="0.25">
      <c r="A72" s="48"/>
      <c r="B72" s="347" t="s">
        <v>59</v>
      </c>
      <c r="C72" s="348"/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9"/>
      <c r="O72" s="60"/>
      <c r="P72" s="347" t="s">
        <v>60</v>
      </c>
      <c r="Q72" s="348"/>
      <c r="R72" s="348"/>
      <c r="S72" s="348"/>
      <c r="T72" s="348"/>
      <c r="U72" s="348"/>
      <c r="V72" s="348"/>
      <c r="W72" s="348"/>
      <c r="X72" s="348"/>
      <c r="Y72" s="348"/>
      <c r="Z72" s="348"/>
      <c r="AA72" s="348"/>
      <c r="AB72" s="349"/>
      <c r="AC72" s="60"/>
      <c r="AD72" s="59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1"/>
      <c r="AQ72" s="60"/>
      <c r="AR72" s="59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1"/>
      <c r="BE72" s="60"/>
      <c r="BF72" s="80" t="s">
        <v>61</v>
      </c>
      <c r="BG72" s="60"/>
      <c r="BH72" s="81"/>
      <c r="BI72" s="60"/>
      <c r="BJ72" s="60"/>
      <c r="BK72" s="60"/>
      <c r="BL72" s="60"/>
      <c r="BM72" s="60"/>
      <c r="BN72" s="60"/>
      <c r="BO72" s="60"/>
      <c r="BP72" s="60"/>
      <c r="BQ72" s="60"/>
      <c r="BR72" s="61"/>
      <c r="BS72" s="47"/>
    </row>
    <row r="73" spans="1:71" ht="9" customHeight="1" x14ac:dyDescent="0.25">
      <c r="A73" s="48"/>
      <c r="B73" s="59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1"/>
      <c r="O73" s="60"/>
      <c r="P73" s="59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1"/>
      <c r="AC73" s="60"/>
      <c r="AD73" s="59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1"/>
      <c r="AQ73" s="60"/>
      <c r="AR73" s="59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1"/>
      <c r="BE73" s="60"/>
      <c r="BF73" s="59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1"/>
      <c r="BS73" s="47"/>
    </row>
    <row r="74" spans="1:71" ht="9" customHeight="1" x14ac:dyDescent="0.25">
      <c r="A74" s="48"/>
      <c r="B74" s="59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1"/>
      <c r="O74" s="60"/>
      <c r="P74" s="59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1"/>
      <c r="AC74" s="60"/>
      <c r="AD74" s="59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1"/>
      <c r="AQ74" s="60"/>
      <c r="AR74" s="59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1"/>
      <c r="BE74" s="60"/>
      <c r="BF74" s="59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1"/>
      <c r="BS74" s="47"/>
    </row>
    <row r="75" spans="1:71" ht="9" customHeight="1" x14ac:dyDescent="0.25">
      <c r="A75" s="48"/>
      <c r="B75" s="59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1"/>
      <c r="O75" s="60"/>
      <c r="P75" s="59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1"/>
      <c r="AC75" s="60"/>
      <c r="AD75" s="59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1"/>
      <c r="AQ75" s="60"/>
      <c r="AR75" s="59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1"/>
      <c r="BE75" s="60"/>
      <c r="BF75" s="59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1"/>
      <c r="BS75" s="47"/>
    </row>
    <row r="76" spans="1:71" ht="9" customHeight="1" x14ac:dyDescent="0.25">
      <c r="A76" s="48"/>
      <c r="B76" s="59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1"/>
      <c r="O76" s="60"/>
      <c r="P76" s="59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1"/>
      <c r="AC76" s="60"/>
      <c r="AD76" s="59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1"/>
      <c r="AQ76" s="60"/>
      <c r="AR76" s="59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1"/>
      <c r="BE76" s="60"/>
      <c r="BF76" s="59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1"/>
      <c r="BS76" s="47"/>
    </row>
    <row r="77" spans="1:71" ht="9" customHeight="1" x14ac:dyDescent="0.25">
      <c r="A77" s="48"/>
      <c r="B77" s="59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1"/>
      <c r="O77" s="60"/>
      <c r="P77" s="59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1"/>
      <c r="AC77" s="60"/>
      <c r="AD77" s="59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1"/>
      <c r="AQ77" s="60"/>
      <c r="AR77" s="59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1"/>
      <c r="BE77" s="60"/>
      <c r="BF77" s="59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1"/>
      <c r="BS77" s="47"/>
    </row>
    <row r="78" spans="1:71" ht="9" customHeight="1" x14ac:dyDescent="0.25">
      <c r="A78" s="48"/>
      <c r="B78" s="59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1"/>
      <c r="O78" s="60"/>
      <c r="P78" s="59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1"/>
      <c r="AC78" s="60"/>
      <c r="AD78" s="59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1"/>
      <c r="AQ78" s="60"/>
      <c r="AR78" s="59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1"/>
      <c r="BE78" s="60"/>
      <c r="BF78" s="59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1"/>
      <c r="BS78" s="47"/>
    </row>
    <row r="79" spans="1:71" ht="9" customHeight="1" x14ac:dyDescent="0.25">
      <c r="A79" s="48"/>
      <c r="B79" s="59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1"/>
      <c r="O79" s="60"/>
      <c r="P79" s="59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1"/>
      <c r="AC79" s="60"/>
      <c r="AD79" s="59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1"/>
      <c r="AQ79" s="60"/>
      <c r="AR79" s="59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1"/>
      <c r="BE79" s="60"/>
      <c r="BF79" s="59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1"/>
      <c r="BS79" s="47"/>
    </row>
    <row r="80" spans="1:71" ht="9" customHeight="1" x14ac:dyDescent="0.25">
      <c r="A80" s="48"/>
      <c r="B80" s="59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1"/>
      <c r="O80" s="60"/>
      <c r="P80" s="59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1"/>
      <c r="AC80" s="60"/>
      <c r="AD80" s="59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1"/>
      <c r="AQ80" s="60"/>
      <c r="AR80" s="59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1"/>
      <c r="BE80" s="60"/>
      <c r="BF80" s="59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1"/>
      <c r="BS80" s="47"/>
    </row>
    <row r="81" spans="1:71" ht="9" customHeight="1" x14ac:dyDescent="0.25">
      <c r="A81" s="48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55"/>
      <c r="M81" s="55"/>
      <c r="N81" s="56"/>
      <c r="O81" s="60"/>
      <c r="P81" s="353" t="s">
        <v>62</v>
      </c>
      <c r="Q81" s="354"/>
      <c r="R81" s="354"/>
      <c r="S81" s="354"/>
      <c r="T81" s="354"/>
      <c r="U81" s="354"/>
      <c r="V81" s="354"/>
      <c r="W81" s="354"/>
      <c r="X81" s="354"/>
      <c r="Y81" s="354"/>
      <c r="Z81" s="354"/>
      <c r="AA81" s="354"/>
      <c r="AB81" s="355"/>
      <c r="AC81" s="60"/>
      <c r="AD81" s="64"/>
      <c r="AE81" s="65"/>
      <c r="AF81" s="65"/>
      <c r="AG81" s="65"/>
      <c r="AH81" s="65"/>
      <c r="AI81" s="65"/>
      <c r="AJ81" s="65"/>
      <c r="AK81" s="65"/>
      <c r="AL81" s="65"/>
      <c r="AM81" s="65"/>
      <c r="AN81" s="55"/>
      <c r="AO81" s="55"/>
      <c r="AP81" s="56"/>
      <c r="AQ81" s="60"/>
      <c r="AR81" s="64"/>
      <c r="AS81" s="65"/>
      <c r="AT81" s="65"/>
      <c r="AU81" s="65"/>
      <c r="AV81" s="65"/>
      <c r="AW81" s="65"/>
      <c r="AX81" s="65"/>
      <c r="AY81" s="65"/>
      <c r="AZ81" s="65"/>
      <c r="BA81" s="65"/>
      <c r="BB81" s="55"/>
      <c r="BC81" s="55"/>
      <c r="BD81" s="56"/>
      <c r="BE81" s="60"/>
      <c r="BF81" s="64" t="s">
        <v>63</v>
      </c>
      <c r="BG81" s="65"/>
      <c r="BH81" s="65"/>
      <c r="BI81" s="65"/>
      <c r="BJ81" s="65"/>
      <c r="BK81" s="65"/>
      <c r="BL81" s="65"/>
      <c r="BM81" s="65"/>
      <c r="BN81" s="65"/>
      <c r="BO81" s="65"/>
      <c r="BP81" s="55"/>
      <c r="BQ81" s="55"/>
      <c r="BR81" s="56"/>
      <c r="BS81" s="47"/>
    </row>
    <row r="82" spans="1:71" ht="9" customHeight="1" x14ac:dyDescent="0.25">
      <c r="A82" s="48"/>
      <c r="B82" s="353" t="s">
        <v>48</v>
      </c>
      <c r="C82" s="354"/>
      <c r="D82" s="354"/>
      <c r="E82" s="354"/>
      <c r="F82" s="354"/>
      <c r="G82" s="354"/>
      <c r="H82" s="354"/>
      <c r="I82" s="354"/>
      <c r="J82" s="354"/>
      <c r="K82" s="354"/>
      <c r="L82" s="354"/>
      <c r="M82" s="354"/>
      <c r="N82" s="355"/>
      <c r="O82" s="60"/>
      <c r="P82" s="239" t="s">
        <v>64</v>
      </c>
      <c r="Q82" s="239"/>
      <c r="R82" s="239"/>
      <c r="S82" s="239"/>
      <c r="T82" s="239"/>
      <c r="U82" s="239"/>
      <c r="V82" s="239"/>
      <c r="W82" s="239"/>
      <c r="X82" s="239"/>
      <c r="Y82" s="239"/>
      <c r="Z82" s="240">
        <f>CEILING(1764*B4,1)</f>
        <v>3352</v>
      </c>
      <c r="AA82" s="240"/>
      <c r="AB82" s="240"/>
      <c r="AC82" s="60"/>
      <c r="AD82" s="353" t="s">
        <v>65</v>
      </c>
      <c r="AE82" s="354"/>
      <c r="AF82" s="354"/>
      <c r="AG82" s="354"/>
      <c r="AH82" s="354"/>
      <c r="AI82" s="354"/>
      <c r="AJ82" s="354"/>
      <c r="AK82" s="354"/>
      <c r="AL82" s="354"/>
      <c r="AM82" s="354"/>
      <c r="AN82" s="354"/>
      <c r="AO82" s="354"/>
      <c r="AP82" s="355"/>
      <c r="AQ82" s="60"/>
      <c r="AR82" s="353" t="s">
        <v>65</v>
      </c>
      <c r="AS82" s="354"/>
      <c r="AT82" s="354"/>
      <c r="AU82" s="354"/>
      <c r="AV82" s="354"/>
      <c r="AW82" s="354"/>
      <c r="AX82" s="354"/>
      <c r="AY82" s="354"/>
      <c r="AZ82" s="354"/>
      <c r="BA82" s="354"/>
      <c r="BB82" s="354"/>
      <c r="BC82" s="354"/>
      <c r="BD82" s="355"/>
      <c r="BE82" s="60"/>
      <c r="BF82" s="239" t="s">
        <v>66</v>
      </c>
      <c r="BG82" s="239"/>
      <c r="BH82" s="239"/>
      <c r="BI82" s="239"/>
      <c r="BJ82" s="239"/>
      <c r="BK82" s="239"/>
      <c r="BL82" s="239"/>
      <c r="BM82" s="239"/>
      <c r="BN82" s="239"/>
      <c r="BO82" s="239"/>
      <c r="BP82" s="240">
        <f>CEILING(816*B4,1)</f>
        <v>1551</v>
      </c>
      <c r="BQ82" s="240"/>
      <c r="BR82" s="240"/>
      <c r="BS82" s="47"/>
    </row>
    <row r="83" spans="1:71" ht="9" customHeight="1" x14ac:dyDescent="0.25">
      <c r="A83" s="48"/>
      <c r="B83" s="239" t="s">
        <v>53</v>
      </c>
      <c r="C83" s="239"/>
      <c r="D83" s="239"/>
      <c r="E83" s="239"/>
      <c r="F83" s="239"/>
      <c r="G83" s="239"/>
      <c r="H83" s="239"/>
      <c r="I83" s="239"/>
      <c r="J83" s="239"/>
      <c r="K83" s="239"/>
      <c r="L83" s="240">
        <f>CEILING(2085*B4,1)</f>
        <v>3962</v>
      </c>
      <c r="M83" s="240"/>
      <c r="N83" s="240"/>
      <c r="O83" s="75"/>
      <c r="P83" s="239" t="s">
        <v>67</v>
      </c>
      <c r="Q83" s="239"/>
      <c r="R83" s="239"/>
      <c r="S83" s="239"/>
      <c r="T83" s="239"/>
      <c r="U83" s="239"/>
      <c r="V83" s="239"/>
      <c r="W83" s="239"/>
      <c r="X83" s="239"/>
      <c r="Y83" s="239"/>
      <c r="Z83" s="240">
        <f>CEILING(2915*B4,1)</f>
        <v>5539</v>
      </c>
      <c r="AA83" s="240"/>
      <c r="AB83" s="240"/>
      <c r="AC83" s="75"/>
      <c r="AD83" s="239" t="s">
        <v>22</v>
      </c>
      <c r="AE83" s="239"/>
      <c r="AF83" s="239"/>
      <c r="AG83" s="239"/>
      <c r="AH83" s="239"/>
      <c r="AI83" s="239"/>
      <c r="AJ83" s="239"/>
      <c r="AK83" s="239"/>
      <c r="AL83" s="239"/>
      <c r="AM83" s="239"/>
      <c r="AN83" s="240">
        <f>CEILING(1152*B4,1)</f>
        <v>2189</v>
      </c>
      <c r="AO83" s="240"/>
      <c r="AP83" s="240"/>
      <c r="AQ83" s="75"/>
      <c r="AR83" s="239" t="s">
        <v>68</v>
      </c>
      <c r="AS83" s="239"/>
      <c r="AT83" s="239"/>
      <c r="AU83" s="239"/>
      <c r="AV83" s="239"/>
      <c r="AW83" s="239"/>
      <c r="AX83" s="239"/>
      <c r="AY83" s="239"/>
      <c r="AZ83" s="239"/>
      <c r="BA83" s="239"/>
      <c r="BB83" s="240">
        <f>CEILING(3864*B4,1)</f>
        <v>7342</v>
      </c>
      <c r="BC83" s="240"/>
      <c r="BD83" s="240"/>
      <c r="BE83" s="76"/>
      <c r="BF83" s="239" t="s">
        <v>69</v>
      </c>
      <c r="BG83" s="239"/>
      <c r="BH83" s="239"/>
      <c r="BI83" s="239"/>
      <c r="BJ83" s="239"/>
      <c r="BK83" s="239"/>
      <c r="BL83" s="239"/>
      <c r="BM83" s="239"/>
      <c r="BN83" s="239"/>
      <c r="BO83" s="239"/>
      <c r="BP83" s="240">
        <f>CEILING(1426*B4,1)</f>
        <v>2710</v>
      </c>
      <c r="BQ83" s="240"/>
      <c r="BR83" s="240"/>
      <c r="BS83" s="47"/>
    </row>
    <row r="84" spans="1:71" ht="1.5" customHeight="1" x14ac:dyDescent="0.25">
      <c r="A84" s="48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47"/>
    </row>
    <row r="85" spans="1:71" ht="9" customHeight="1" x14ac:dyDescent="0.25">
      <c r="A85" s="48"/>
      <c r="B85" s="321" t="s">
        <v>70</v>
      </c>
      <c r="C85" s="322"/>
      <c r="D85" s="322"/>
      <c r="E85" s="323"/>
      <c r="F85" s="77"/>
      <c r="G85" s="78"/>
      <c r="H85" s="78"/>
      <c r="I85" s="78"/>
      <c r="J85" s="78"/>
      <c r="K85" s="78"/>
      <c r="L85" s="78"/>
      <c r="M85" s="78"/>
      <c r="N85" s="79"/>
      <c r="O85" s="60"/>
      <c r="P85" s="321" t="s">
        <v>71</v>
      </c>
      <c r="Q85" s="322"/>
      <c r="R85" s="322"/>
      <c r="S85" s="323"/>
      <c r="T85" s="78"/>
      <c r="U85" s="78"/>
      <c r="V85" s="78"/>
      <c r="W85" s="78"/>
      <c r="X85" s="78"/>
      <c r="Y85" s="78"/>
      <c r="Z85" s="78"/>
      <c r="AA85" s="78"/>
      <c r="AB85" s="79"/>
      <c r="AC85" s="60"/>
      <c r="AD85" s="321" t="s">
        <v>72</v>
      </c>
      <c r="AE85" s="322"/>
      <c r="AF85" s="322"/>
      <c r="AG85" s="323"/>
      <c r="AH85" s="77"/>
      <c r="AI85" s="78"/>
      <c r="AJ85" s="78"/>
      <c r="AK85" s="78"/>
      <c r="AL85" s="78"/>
      <c r="AM85" s="78"/>
      <c r="AN85" s="78"/>
      <c r="AO85" s="78"/>
      <c r="AP85" s="79"/>
      <c r="AQ85" s="60"/>
      <c r="AR85" s="321" t="s">
        <v>73</v>
      </c>
      <c r="AS85" s="322"/>
      <c r="AT85" s="322"/>
      <c r="AU85" s="323"/>
      <c r="AV85" s="77"/>
      <c r="AW85" s="78"/>
      <c r="AX85" s="78"/>
      <c r="AY85" s="78"/>
      <c r="AZ85" s="78"/>
      <c r="BA85" s="78"/>
      <c r="BB85" s="78"/>
      <c r="BC85" s="78"/>
      <c r="BD85" s="79"/>
      <c r="BE85" s="60"/>
      <c r="BF85" s="321"/>
      <c r="BG85" s="322"/>
      <c r="BH85" s="322"/>
      <c r="BI85" s="323"/>
      <c r="BJ85" s="72"/>
      <c r="BK85" s="72"/>
      <c r="BL85" s="72"/>
      <c r="BM85" s="72"/>
      <c r="BN85" s="72"/>
      <c r="BO85" s="72"/>
      <c r="BP85" s="72"/>
      <c r="BQ85" s="72"/>
      <c r="BR85" s="73"/>
      <c r="BS85" s="47"/>
    </row>
    <row r="86" spans="1:71" ht="9" customHeight="1" x14ac:dyDescent="0.25">
      <c r="A86" s="48"/>
      <c r="B86" s="344"/>
      <c r="C86" s="345"/>
      <c r="D86" s="345"/>
      <c r="E86" s="345"/>
      <c r="F86" s="345"/>
      <c r="G86" s="345"/>
      <c r="H86" s="345"/>
      <c r="I86" s="345"/>
      <c r="J86" s="345"/>
      <c r="K86" s="345"/>
      <c r="L86" s="345"/>
      <c r="M86" s="345"/>
      <c r="N86" s="346"/>
      <c r="O86" s="60"/>
      <c r="P86" s="347"/>
      <c r="Q86" s="348"/>
      <c r="R86" s="348"/>
      <c r="S86" s="348"/>
      <c r="T86" s="348"/>
      <c r="U86" s="348"/>
      <c r="V86" s="348"/>
      <c r="W86" s="348"/>
      <c r="X86" s="348"/>
      <c r="Y86" s="348"/>
      <c r="Z86" s="348"/>
      <c r="AA86" s="348"/>
      <c r="AB86" s="349"/>
      <c r="AC86" s="60"/>
      <c r="AD86" s="347"/>
      <c r="AE86" s="348"/>
      <c r="AF86" s="348"/>
      <c r="AG86" s="348"/>
      <c r="AH86" s="348"/>
      <c r="AI86" s="348"/>
      <c r="AJ86" s="348"/>
      <c r="AK86" s="348"/>
      <c r="AL86" s="348"/>
      <c r="AM86" s="348"/>
      <c r="AN86" s="348"/>
      <c r="AO86" s="348"/>
      <c r="AP86" s="349"/>
      <c r="AQ86" s="60"/>
      <c r="AR86" s="59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1"/>
      <c r="BE86" s="60"/>
      <c r="BF86" s="59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1"/>
      <c r="BS86" s="47"/>
    </row>
    <row r="87" spans="1:71" ht="9" customHeight="1" x14ac:dyDescent="0.25">
      <c r="A87" s="48"/>
      <c r="B87" s="59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1"/>
      <c r="O87" s="60"/>
      <c r="P87" s="59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1"/>
      <c r="AC87" s="60"/>
      <c r="AD87" s="59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1"/>
      <c r="AQ87" s="60"/>
      <c r="AR87" s="59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1"/>
      <c r="BE87" s="60"/>
      <c r="BF87" s="59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1"/>
      <c r="BS87" s="47"/>
    </row>
    <row r="88" spans="1:71" ht="9" customHeight="1" x14ac:dyDescent="0.25">
      <c r="A88" s="48"/>
      <c r="B88" s="59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1"/>
      <c r="O88" s="60"/>
      <c r="P88" s="59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1"/>
      <c r="AC88" s="60"/>
      <c r="AD88" s="59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1"/>
      <c r="AQ88" s="60"/>
      <c r="AR88" s="59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1"/>
      <c r="BE88" s="60"/>
      <c r="BF88" s="59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1"/>
      <c r="BS88" s="47"/>
    </row>
    <row r="89" spans="1:71" ht="9" customHeight="1" x14ac:dyDescent="0.25">
      <c r="A89" s="48"/>
      <c r="B89" s="59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1"/>
      <c r="O89" s="60"/>
      <c r="P89" s="59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1"/>
      <c r="AC89" s="60"/>
      <c r="AD89" s="59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1"/>
      <c r="AQ89" s="60"/>
      <c r="AR89" s="59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1"/>
      <c r="BE89" s="60"/>
      <c r="BF89" s="59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1"/>
      <c r="BS89" s="47"/>
    </row>
    <row r="90" spans="1:71" ht="9" customHeight="1" x14ac:dyDescent="0.25">
      <c r="A90" s="48"/>
      <c r="B90" s="59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1"/>
      <c r="O90" s="60"/>
      <c r="P90" s="59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1"/>
      <c r="AC90" s="60"/>
      <c r="AD90" s="59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1"/>
      <c r="AQ90" s="60"/>
      <c r="AR90" s="59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1"/>
      <c r="BE90" s="60"/>
      <c r="BF90" s="59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1"/>
      <c r="BS90" s="47"/>
    </row>
    <row r="91" spans="1:71" ht="9" customHeight="1" x14ac:dyDescent="0.25">
      <c r="A91" s="48"/>
      <c r="B91" s="59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1"/>
      <c r="O91" s="60"/>
      <c r="P91" s="59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1"/>
      <c r="AC91" s="60"/>
      <c r="AD91" s="59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1"/>
      <c r="AQ91" s="60"/>
      <c r="AR91" s="59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1"/>
      <c r="BE91" s="60"/>
      <c r="BF91" s="59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1"/>
      <c r="BS91" s="47"/>
    </row>
    <row r="92" spans="1:71" ht="9" customHeight="1" x14ac:dyDescent="0.25">
      <c r="A92" s="48"/>
      <c r="B92" s="59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1"/>
      <c r="O92" s="60"/>
      <c r="P92" s="59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1"/>
      <c r="AC92" s="60"/>
      <c r="AD92" s="59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1"/>
      <c r="AQ92" s="60"/>
      <c r="AR92" s="59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1"/>
      <c r="BE92" s="60"/>
      <c r="BF92" s="59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1"/>
      <c r="BS92" s="47"/>
    </row>
    <row r="93" spans="1:71" ht="9" customHeight="1" x14ac:dyDescent="0.25">
      <c r="A93" s="48"/>
      <c r="B93" s="59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1"/>
      <c r="O93" s="60"/>
      <c r="P93" s="59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1"/>
      <c r="AC93" s="60"/>
      <c r="AD93" s="59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1"/>
      <c r="AQ93" s="60"/>
      <c r="AR93" s="59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1"/>
      <c r="BE93" s="60"/>
      <c r="BF93" s="59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1"/>
      <c r="BS93" s="47"/>
    </row>
    <row r="94" spans="1:71" ht="9" customHeight="1" x14ac:dyDescent="0.25">
      <c r="A94" s="48"/>
      <c r="B94" s="59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1"/>
      <c r="O94" s="60"/>
      <c r="P94" s="59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1"/>
      <c r="AC94" s="60"/>
      <c r="AD94" s="59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1"/>
      <c r="AQ94" s="60"/>
      <c r="AR94" s="54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6"/>
      <c r="BE94" s="60"/>
      <c r="BF94" s="59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1"/>
      <c r="BS94" s="47"/>
    </row>
    <row r="95" spans="1:71" ht="9" customHeight="1" x14ac:dyDescent="0.25">
      <c r="A95" s="48"/>
      <c r="B95" s="350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2"/>
      <c r="O95" s="60"/>
      <c r="P95" s="64" t="s">
        <v>74</v>
      </c>
      <c r="Q95" s="65"/>
      <c r="R95" s="65"/>
      <c r="S95" s="65"/>
      <c r="T95" s="65"/>
      <c r="U95" s="65"/>
      <c r="V95" s="65"/>
      <c r="W95" s="65"/>
      <c r="X95" s="65"/>
      <c r="Y95" s="65"/>
      <c r="Z95" s="55"/>
      <c r="AA95" s="55"/>
      <c r="AB95" s="56"/>
      <c r="AC95" s="60"/>
      <c r="AD95" s="64"/>
      <c r="AE95" s="65"/>
      <c r="AF95" s="65"/>
      <c r="AG95" s="65"/>
      <c r="AH95" s="65"/>
      <c r="AI95" s="65"/>
      <c r="AJ95" s="65"/>
      <c r="AK95" s="65"/>
      <c r="AL95" s="65"/>
      <c r="AM95" s="65"/>
      <c r="AN95" s="55"/>
      <c r="AO95" s="55"/>
      <c r="AP95" s="56"/>
      <c r="AQ95" s="60"/>
      <c r="AR95" s="64" t="s">
        <v>75</v>
      </c>
      <c r="AS95" s="65"/>
      <c r="AT95" s="65"/>
      <c r="AU95" s="65"/>
      <c r="AV95" s="65"/>
      <c r="AW95" s="65"/>
      <c r="AX95" s="65"/>
      <c r="AY95" s="65"/>
      <c r="AZ95" s="65"/>
      <c r="BA95" s="65"/>
      <c r="BB95" s="55"/>
      <c r="BC95" s="55"/>
      <c r="BD95" s="56"/>
      <c r="BE95" s="60"/>
      <c r="BF95" s="353" t="s">
        <v>75</v>
      </c>
      <c r="BG95" s="354"/>
      <c r="BH95" s="354"/>
      <c r="BI95" s="354"/>
      <c r="BJ95" s="354"/>
      <c r="BK95" s="354"/>
      <c r="BL95" s="354"/>
      <c r="BM95" s="354"/>
      <c r="BN95" s="354"/>
      <c r="BO95" s="354"/>
      <c r="BP95" s="354"/>
      <c r="BQ95" s="354"/>
      <c r="BR95" s="355"/>
      <c r="BS95" s="47"/>
    </row>
    <row r="96" spans="1:71" ht="9" customHeight="1" x14ac:dyDescent="0.25">
      <c r="A96" s="48"/>
      <c r="B96" s="353" t="s">
        <v>76</v>
      </c>
      <c r="C96" s="354"/>
      <c r="D96" s="354"/>
      <c r="E96" s="354"/>
      <c r="F96" s="354"/>
      <c r="G96" s="354"/>
      <c r="H96" s="354"/>
      <c r="I96" s="354"/>
      <c r="J96" s="354"/>
      <c r="K96" s="354"/>
      <c r="L96" s="354"/>
      <c r="M96" s="354"/>
      <c r="N96" s="355"/>
      <c r="O96" s="60"/>
      <c r="P96" s="353" t="s">
        <v>77</v>
      </c>
      <c r="Q96" s="354"/>
      <c r="R96" s="354"/>
      <c r="S96" s="354"/>
      <c r="T96" s="354"/>
      <c r="U96" s="354"/>
      <c r="V96" s="354"/>
      <c r="W96" s="354"/>
      <c r="X96" s="354"/>
      <c r="Y96" s="354"/>
      <c r="Z96" s="354"/>
      <c r="AA96" s="354"/>
      <c r="AB96" s="355"/>
      <c r="AC96" s="60"/>
      <c r="AD96" s="64" t="s">
        <v>75</v>
      </c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82"/>
      <c r="AQ96" s="60"/>
      <c r="AR96" s="239" t="s">
        <v>78</v>
      </c>
      <c r="AS96" s="239"/>
      <c r="AT96" s="239"/>
      <c r="AU96" s="239"/>
      <c r="AV96" s="239"/>
      <c r="AW96" s="239"/>
      <c r="AX96" s="239"/>
      <c r="AY96" s="239"/>
      <c r="AZ96" s="239"/>
      <c r="BA96" s="239"/>
      <c r="BB96" s="240">
        <f>CEILING(1116*B4,1)</f>
        <v>2121</v>
      </c>
      <c r="BC96" s="240"/>
      <c r="BD96" s="240"/>
      <c r="BE96" s="74"/>
      <c r="BF96" s="239" t="s">
        <v>79</v>
      </c>
      <c r="BG96" s="239"/>
      <c r="BH96" s="239"/>
      <c r="BI96" s="239"/>
      <c r="BJ96" s="239"/>
      <c r="BK96" s="239"/>
      <c r="BL96" s="239"/>
      <c r="BM96" s="239"/>
      <c r="BN96" s="239"/>
      <c r="BO96" s="239"/>
      <c r="BP96" s="240">
        <f>CEILING(545*B4,1)</f>
        <v>1036</v>
      </c>
      <c r="BQ96" s="240"/>
      <c r="BR96" s="240"/>
      <c r="BS96" s="47"/>
    </row>
    <row r="97" spans="1:71" ht="9" customHeight="1" x14ac:dyDescent="0.25">
      <c r="A97" s="48"/>
      <c r="B97" s="239" t="s">
        <v>80</v>
      </c>
      <c r="C97" s="239"/>
      <c r="D97" s="239"/>
      <c r="E97" s="239"/>
      <c r="F97" s="239"/>
      <c r="G97" s="239"/>
      <c r="H97" s="239"/>
      <c r="I97" s="239"/>
      <c r="J97" s="239"/>
      <c r="K97" s="239"/>
      <c r="L97" s="240">
        <f>CEILING(1588*B4,1)</f>
        <v>3018</v>
      </c>
      <c r="M97" s="240"/>
      <c r="N97" s="240"/>
      <c r="O97" s="75"/>
      <c r="P97" s="239" t="s">
        <v>81</v>
      </c>
      <c r="Q97" s="239"/>
      <c r="R97" s="239"/>
      <c r="S97" s="239"/>
      <c r="T97" s="239"/>
      <c r="U97" s="239"/>
      <c r="V97" s="239"/>
      <c r="W97" s="239"/>
      <c r="X97" s="239"/>
      <c r="Y97" s="239"/>
      <c r="Z97" s="240">
        <f>CEILING(1922*B4,1)</f>
        <v>3652</v>
      </c>
      <c r="AA97" s="240"/>
      <c r="AB97" s="240"/>
      <c r="AC97" s="75"/>
      <c r="AD97" s="239" t="s">
        <v>82</v>
      </c>
      <c r="AE97" s="239"/>
      <c r="AF97" s="239"/>
      <c r="AG97" s="239"/>
      <c r="AH97" s="239"/>
      <c r="AI97" s="239"/>
      <c r="AJ97" s="239"/>
      <c r="AK97" s="239"/>
      <c r="AL97" s="239"/>
      <c r="AM97" s="239"/>
      <c r="AN97" s="240">
        <f>CEILING(477*B4,1)</f>
        <v>907</v>
      </c>
      <c r="AO97" s="240"/>
      <c r="AP97" s="240"/>
      <c r="AQ97" s="83"/>
      <c r="AR97" s="239" t="s">
        <v>83</v>
      </c>
      <c r="AS97" s="239"/>
      <c r="AT97" s="239"/>
      <c r="AU97" s="239"/>
      <c r="AV97" s="239"/>
      <c r="AW97" s="239"/>
      <c r="AX97" s="239"/>
      <c r="AY97" s="239"/>
      <c r="AZ97" s="239"/>
      <c r="BA97" s="239"/>
      <c r="BB97" s="240">
        <f>CEILING(1292*B4,1)</f>
        <v>2455</v>
      </c>
      <c r="BC97" s="240"/>
      <c r="BD97" s="240"/>
      <c r="BE97" s="74"/>
      <c r="BF97" s="239" t="s">
        <v>82</v>
      </c>
      <c r="BG97" s="239"/>
      <c r="BH97" s="239"/>
      <c r="BI97" s="239"/>
      <c r="BJ97" s="239"/>
      <c r="BK97" s="239"/>
      <c r="BL97" s="239"/>
      <c r="BM97" s="239"/>
      <c r="BN97" s="239"/>
      <c r="BO97" s="239"/>
      <c r="BP97" s="240">
        <f>CEILING(931*B4,1)</f>
        <v>1769</v>
      </c>
      <c r="BQ97" s="240"/>
      <c r="BR97" s="240"/>
      <c r="BS97" s="47"/>
    </row>
    <row r="98" spans="1:71" ht="1.5" customHeight="1" x14ac:dyDescent="0.25">
      <c r="A98" s="84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6"/>
    </row>
    <row r="99" spans="1:71" ht="9" customHeight="1" x14ac:dyDescent="0.25"/>
    <row r="100" spans="1:71" ht="9" customHeight="1" x14ac:dyDescent="0.25"/>
    <row r="101" spans="1:71" ht="9" customHeight="1" x14ac:dyDescent="0.25"/>
    <row r="102" spans="1:71" ht="9" customHeight="1" x14ac:dyDescent="0.25"/>
    <row r="103" spans="1:71" ht="9" customHeight="1" x14ac:dyDescent="0.25"/>
    <row r="104" spans="1:71" ht="9" customHeight="1" x14ac:dyDescent="0.25"/>
    <row r="105" spans="1:71" ht="9" customHeight="1" x14ac:dyDescent="0.25"/>
    <row r="106" spans="1:71" ht="9" customHeight="1" x14ac:dyDescent="0.25"/>
    <row r="107" spans="1:71" ht="9" customHeight="1" x14ac:dyDescent="0.25"/>
    <row r="108" spans="1:71" ht="9" customHeight="1" x14ac:dyDescent="0.25"/>
    <row r="109" spans="1:71" ht="9" customHeight="1" x14ac:dyDescent="0.25"/>
    <row r="110" spans="1:71" ht="9" customHeight="1" x14ac:dyDescent="0.25"/>
    <row r="111" spans="1:71" ht="9" customHeight="1" x14ac:dyDescent="0.25"/>
    <row r="112" spans="1:71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</sheetData>
  <mergeCells count="145">
    <mergeCell ref="B8:BR8"/>
    <mergeCell ref="B9:E9"/>
    <mergeCell ref="P9:S9"/>
    <mergeCell ref="AD9:AG9"/>
    <mergeCell ref="AR9:AU9"/>
    <mergeCell ref="BF9:BI9"/>
    <mergeCell ref="B4:N4"/>
    <mergeCell ref="P4:BR4"/>
    <mergeCell ref="A2:BC2"/>
    <mergeCell ref="BJ2:BR2"/>
    <mergeCell ref="B22:N22"/>
    <mergeCell ref="P22:AB22"/>
    <mergeCell ref="AD22:AP22"/>
    <mergeCell ref="AR22:BD22"/>
    <mergeCell ref="BF22:BR22"/>
    <mergeCell ref="B23:K23"/>
    <mergeCell ref="L23:N23"/>
    <mergeCell ref="P23:Y23"/>
    <mergeCell ref="Z23:AB23"/>
    <mergeCell ref="AD23:AM23"/>
    <mergeCell ref="AN23:AP23"/>
    <mergeCell ref="AR23:BA23"/>
    <mergeCell ref="BB23:BD23"/>
    <mergeCell ref="BF23:BO23"/>
    <mergeCell ref="BP23:BR23"/>
    <mergeCell ref="B25:E25"/>
    <mergeCell ref="P25:S25"/>
    <mergeCell ref="AD25:AG25"/>
    <mergeCell ref="AR25:AU25"/>
    <mergeCell ref="BF25:BI25"/>
    <mergeCell ref="B38:N38"/>
    <mergeCell ref="P38:AB38"/>
    <mergeCell ref="AD38:AP38"/>
    <mergeCell ref="AR38:BD38"/>
    <mergeCell ref="BF38:BR38"/>
    <mergeCell ref="B39:K39"/>
    <mergeCell ref="L39:N39"/>
    <mergeCell ref="P39:Y39"/>
    <mergeCell ref="Z39:AB39"/>
    <mergeCell ref="AD39:AM39"/>
    <mergeCell ref="BF53:BR53"/>
    <mergeCell ref="B54:N54"/>
    <mergeCell ref="P54:AB54"/>
    <mergeCell ref="AD54:AP54"/>
    <mergeCell ref="AR54:BD54"/>
    <mergeCell ref="BF54:BR54"/>
    <mergeCell ref="AN39:AP39"/>
    <mergeCell ref="AR39:BA39"/>
    <mergeCell ref="BB39:BD39"/>
    <mergeCell ref="BF39:BO39"/>
    <mergeCell ref="BP39:BR39"/>
    <mergeCell ref="B41:E41"/>
    <mergeCell ref="P41:S41"/>
    <mergeCell ref="AD41:AG41"/>
    <mergeCell ref="AR41:AU41"/>
    <mergeCell ref="BF41:BI41"/>
    <mergeCell ref="AR55:BA55"/>
    <mergeCell ref="BB55:BD55"/>
    <mergeCell ref="BF55:BO55"/>
    <mergeCell ref="BP55:BR55"/>
    <mergeCell ref="B57:E57"/>
    <mergeCell ref="P57:S57"/>
    <mergeCell ref="AD57:AG57"/>
    <mergeCell ref="AR57:AU57"/>
    <mergeCell ref="BF57:BI57"/>
    <mergeCell ref="B55:K55"/>
    <mergeCell ref="L55:N55"/>
    <mergeCell ref="P55:Y55"/>
    <mergeCell ref="Z55:AB55"/>
    <mergeCell ref="AD55:AM55"/>
    <mergeCell ref="AN55:AP55"/>
    <mergeCell ref="AR58:BD58"/>
    <mergeCell ref="BF58:BR58"/>
    <mergeCell ref="B67:K67"/>
    <mergeCell ref="L67:N67"/>
    <mergeCell ref="B68:K68"/>
    <mergeCell ref="L68:N68"/>
    <mergeCell ref="P68:Y68"/>
    <mergeCell ref="Z68:AB68"/>
    <mergeCell ref="AD68:AM68"/>
    <mergeCell ref="AN68:AP68"/>
    <mergeCell ref="AR68:BD68"/>
    <mergeCell ref="BF68:BR68"/>
    <mergeCell ref="P81:AB81"/>
    <mergeCell ref="B82:N82"/>
    <mergeCell ref="P82:Y82"/>
    <mergeCell ref="Z82:AB82"/>
    <mergeCell ref="BF69:BO69"/>
    <mergeCell ref="BP69:BR69"/>
    <mergeCell ref="B71:E71"/>
    <mergeCell ref="P71:S71"/>
    <mergeCell ref="AD71:AG71"/>
    <mergeCell ref="AR71:AU71"/>
    <mergeCell ref="BF71:BI71"/>
    <mergeCell ref="B69:K69"/>
    <mergeCell ref="L69:N69"/>
    <mergeCell ref="P69:Y69"/>
    <mergeCell ref="Z69:AB69"/>
    <mergeCell ref="AD69:AM69"/>
    <mergeCell ref="AN69:AP69"/>
    <mergeCell ref="AR69:BA69"/>
    <mergeCell ref="BB69:BD69"/>
    <mergeCell ref="B72:N72"/>
    <mergeCell ref="P72:AB72"/>
    <mergeCell ref="BF83:BO83"/>
    <mergeCell ref="BP83:BR83"/>
    <mergeCell ref="B85:E85"/>
    <mergeCell ref="P85:S85"/>
    <mergeCell ref="AD85:AG85"/>
    <mergeCell ref="AR85:AU85"/>
    <mergeCell ref="BF85:BI85"/>
    <mergeCell ref="AD82:AP82"/>
    <mergeCell ref="AR82:BD82"/>
    <mergeCell ref="BF82:BO82"/>
    <mergeCell ref="BP82:BR82"/>
    <mergeCell ref="B83:K83"/>
    <mergeCell ref="L83:N83"/>
    <mergeCell ref="P83:Y83"/>
    <mergeCell ref="Z83:AB83"/>
    <mergeCell ref="AD83:AM83"/>
    <mergeCell ref="AN83:AP83"/>
    <mergeCell ref="BP97:BR97"/>
    <mergeCell ref="A3:BR3"/>
    <mergeCell ref="BP96:BR96"/>
    <mergeCell ref="B97:K97"/>
    <mergeCell ref="L97:N97"/>
    <mergeCell ref="P97:Y97"/>
    <mergeCell ref="Z97:AB97"/>
    <mergeCell ref="AD97:AM97"/>
    <mergeCell ref="AN97:AP97"/>
    <mergeCell ref="AR97:BA97"/>
    <mergeCell ref="BB97:BD97"/>
    <mergeCell ref="BF97:BO97"/>
    <mergeCell ref="B86:N86"/>
    <mergeCell ref="P86:AB86"/>
    <mergeCell ref="AD86:AP86"/>
    <mergeCell ref="B95:N95"/>
    <mergeCell ref="BF95:BR95"/>
    <mergeCell ref="B96:N96"/>
    <mergeCell ref="P96:AB96"/>
    <mergeCell ref="AR96:BA96"/>
    <mergeCell ref="BB96:BD96"/>
    <mergeCell ref="BF96:BO96"/>
    <mergeCell ref="AR83:BA83"/>
    <mergeCell ref="BB83:BD83"/>
  </mergeCells>
  <hyperlinks>
    <hyperlink ref="BJ2:BR2" location="ОГЛАВЛЕНИЕ!A1" display="ОГЛАВЛЕНИЕ!A1" xr:uid="{5F441EC5-23A8-4387-A8AF-834AE8DA8440}"/>
  </hyperlinks>
  <printOptions horizontalCentered="1"/>
  <pageMargins left="0.23622047244094491" right="0.23622047244094491" top="0.23622047244094491" bottom="0.23622047244094491" header="0.23622047244094491" footer="0.23622047244094491"/>
  <pageSetup paperSize="9" scale="7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31C6D-5CC9-4DE6-B4C1-91D5C98FC6E8}">
  <sheetPr>
    <tabColor rgb="FF92D050"/>
    <pageSetUpPr fitToPage="1"/>
  </sheetPr>
  <dimension ref="A1:BR287"/>
  <sheetViews>
    <sheetView showGridLines="0" view="pageBreakPreview" zoomScaleSheetLayoutView="100" workbookViewId="0">
      <selection activeCell="B3" sqref="B3:K3"/>
    </sheetView>
  </sheetViews>
  <sheetFormatPr defaultColWidth="9.140625" defaultRowHeight="8.25" x14ac:dyDescent="0.25"/>
  <cols>
    <col min="1" max="1" width="0.28515625" style="46" customWidth="1"/>
    <col min="2" max="7" width="1.7109375" style="46" customWidth="1"/>
    <col min="8" max="8" width="2" style="46" customWidth="1"/>
    <col min="9" max="11" width="1.7109375" style="46" customWidth="1"/>
    <col min="12" max="12" width="1.85546875" style="46" customWidth="1"/>
    <col min="13" max="13" width="1.7109375" style="46" customWidth="1"/>
    <col min="14" max="15" width="2.28515625" style="46" customWidth="1"/>
    <col min="16" max="16" width="3.28515625" style="46" customWidth="1"/>
    <col min="17" max="17" width="0.28515625" style="46" customWidth="1"/>
    <col min="18" max="18" width="2" style="46" customWidth="1"/>
    <col min="19" max="22" width="1.7109375" style="46" customWidth="1"/>
    <col min="23" max="23" width="1.85546875" style="46" customWidth="1"/>
    <col min="24" max="28" width="1.7109375" style="46" customWidth="1"/>
    <col min="29" max="29" width="2.140625" style="46" customWidth="1"/>
    <col min="30" max="31" width="1.7109375" style="46" customWidth="1"/>
    <col min="32" max="32" width="3.7109375" style="46" customWidth="1"/>
    <col min="33" max="33" width="0.28515625" style="46" customWidth="1"/>
    <col min="34" max="39" width="1.7109375" style="46" customWidth="1"/>
    <col min="40" max="40" width="1.85546875" style="46" customWidth="1"/>
    <col min="41" max="47" width="1.7109375" style="46" customWidth="1"/>
    <col min="48" max="48" width="2.85546875" style="46" customWidth="1"/>
    <col min="49" max="49" width="0.28515625" style="46" customWidth="1"/>
    <col min="50" max="50" width="2.140625" style="46" customWidth="1"/>
    <col min="51" max="54" width="1.7109375" style="46" customWidth="1"/>
    <col min="55" max="55" width="1.85546875" style="46" customWidth="1"/>
    <col min="56" max="60" width="1.7109375" style="46" customWidth="1"/>
    <col min="61" max="61" width="2.140625" style="46" customWidth="1"/>
    <col min="62" max="63" width="1.7109375" style="46" customWidth="1"/>
    <col min="64" max="64" width="3.7109375" style="46" customWidth="1"/>
    <col min="65" max="65" width="0.28515625" style="46" customWidth="1"/>
    <col min="66" max="16384" width="9.140625" style="46"/>
  </cols>
  <sheetData>
    <row r="1" spans="1:70" s="6" customFormat="1" ht="90.95" customHeight="1" x14ac:dyDescent="0.25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E1" s="357" t="s">
        <v>0</v>
      </c>
      <c r="BF1" s="358"/>
      <c r="BG1" s="358"/>
      <c r="BH1" s="358"/>
      <c r="BI1" s="358"/>
      <c r="BJ1" s="358"/>
      <c r="BK1" s="358"/>
      <c r="BL1" s="358"/>
      <c r="BM1" s="165"/>
      <c r="BN1" s="165"/>
      <c r="BO1" s="165"/>
      <c r="BP1" s="165"/>
      <c r="BQ1" s="165"/>
      <c r="BR1" s="165"/>
    </row>
    <row r="2" spans="1:70" s="6" customFormat="1" ht="23.25" customHeight="1" x14ac:dyDescent="0.25">
      <c r="A2" s="356" t="s">
        <v>385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167"/>
      <c r="BN2" s="167"/>
      <c r="BO2" s="167"/>
      <c r="BP2" s="167"/>
      <c r="BQ2" s="167"/>
      <c r="BR2" s="167"/>
    </row>
    <row r="3" spans="1:70" ht="18" customHeight="1" x14ac:dyDescent="0.25">
      <c r="A3" s="169"/>
      <c r="B3" s="277">
        <v>1.9</v>
      </c>
      <c r="C3" s="278"/>
      <c r="D3" s="278"/>
      <c r="E3" s="278"/>
      <c r="F3" s="278"/>
      <c r="G3" s="278"/>
      <c r="H3" s="278"/>
      <c r="I3" s="278"/>
      <c r="J3" s="278"/>
      <c r="K3" s="278"/>
      <c r="L3" s="279" t="s">
        <v>84</v>
      </c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87"/>
    </row>
    <row r="4" spans="1:70" hidden="1" x14ac:dyDescent="0.25"/>
    <row r="5" spans="1:70" hidden="1" x14ac:dyDescent="0.25"/>
    <row r="6" spans="1:70" ht="2.1" customHeight="1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5"/>
    </row>
    <row r="7" spans="1:70" ht="18.75" customHeight="1" x14ac:dyDescent="0.25">
      <c r="A7" s="48"/>
      <c r="B7" s="280" t="s">
        <v>16</v>
      </c>
      <c r="C7" s="280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47"/>
    </row>
    <row r="8" spans="1:70" s="50" customFormat="1" ht="9" customHeight="1" x14ac:dyDescent="0.25">
      <c r="A8" s="49"/>
      <c r="B8" s="372" t="s">
        <v>85</v>
      </c>
      <c r="C8" s="373"/>
      <c r="D8" s="373"/>
      <c r="E8" s="374"/>
      <c r="F8" s="298" t="s">
        <v>86</v>
      </c>
      <c r="G8" s="299"/>
      <c r="H8" s="299"/>
      <c r="I8" s="299"/>
      <c r="J8" s="299"/>
      <c r="K8" s="299"/>
      <c r="L8" s="299"/>
      <c r="M8" s="299"/>
      <c r="N8" s="299"/>
      <c r="O8" s="299"/>
      <c r="P8" s="300"/>
      <c r="Q8" s="91"/>
      <c r="R8" s="372" t="s">
        <v>87</v>
      </c>
      <c r="S8" s="373"/>
      <c r="T8" s="373"/>
      <c r="U8" s="374"/>
      <c r="V8" s="92"/>
      <c r="W8" s="91"/>
      <c r="X8" s="91"/>
      <c r="Y8" s="91"/>
      <c r="Z8" s="91"/>
      <c r="AA8" s="91"/>
      <c r="AB8" s="91"/>
      <c r="AC8" s="91"/>
      <c r="AD8" s="91"/>
      <c r="AE8" s="91"/>
      <c r="AF8" s="93"/>
      <c r="AG8" s="94"/>
      <c r="AH8" s="372" t="s">
        <v>88</v>
      </c>
      <c r="AI8" s="373"/>
      <c r="AJ8" s="373"/>
      <c r="AK8" s="374"/>
      <c r="AL8" s="92"/>
      <c r="AM8" s="91"/>
      <c r="AN8" s="91"/>
      <c r="AO8" s="91"/>
      <c r="AP8" s="91"/>
      <c r="AQ8" s="91"/>
      <c r="AR8" s="91"/>
      <c r="AS8" s="91"/>
      <c r="AT8" s="91"/>
      <c r="AU8" s="91"/>
      <c r="AV8" s="93"/>
      <c r="AW8" s="91"/>
      <c r="AX8" s="372">
        <v>1</v>
      </c>
      <c r="AY8" s="373"/>
      <c r="AZ8" s="373"/>
      <c r="BA8" s="374"/>
      <c r="BB8" s="92"/>
      <c r="BC8" s="91"/>
      <c r="BD8" s="91"/>
      <c r="BE8" s="91"/>
      <c r="BF8" s="91"/>
      <c r="BG8" s="91"/>
      <c r="BH8" s="91"/>
      <c r="BI8" s="91"/>
      <c r="BJ8" s="91"/>
      <c r="BK8" s="91"/>
      <c r="BL8" s="93"/>
      <c r="BM8" s="52"/>
    </row>
    <row r="9" spans="1:70" s="50" customFormat="1" ht="9" customHeight="1" x14ac:dyDescent="0.25">
      <c r="A9" s="49"/>
      <c r="B9" s="95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6"/>
      <c r="Q9" s="94"/>
      <c r="R9" s="95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6"/>
      <c r="AG9" s="94"/>
      <c r="AH9" s="95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6"/>
      <c r="AW9" s="94"/>
      <c r="AX9" s="95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6"/>
      <c r="BM9" s="97"/>
    </row>
    <row r="10" spans="1:70" s="50" customFormat="1" ht="9" customHeight="1" x14ac:dyDescent="0.25">
      <c r="A10" s="49"/>
      <c r="B10" s="95"/>
      <c r="C10" s="94"/>
      <c r="D10" s="94"/>
      <c r="E10" s="94"/>
      <c r="F10" s="94"/>
      <c r="G10" s="94"/>
      <c r="H10" s="94"/>
      <c r="I10" s="94"/>
      <c r="J10" s="94" t="s">
        <v>89</v>
      </c>
      <c r="K10" s="94"/>
      <c r="L10" s="94"/>
      <c r="M10" s="94"/>
      <c r="N10" s="94"/>
      <c r="O10" s="94"/>
      <c r="P10" s="96"/>
      <c r="Q10" s="94"/>
      <c r="R10" s="95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6"/>
      <c r="AG10" s="94"/>
      <c r="AH10" s="95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6"/>
      <c r="AW10" s="94"/>
      <c r="AX10" s="95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6"/>
      <c r="BM10" s="97"/>
    </row>
    <row r="11" spans="1:70" s="50" customFormat="1" ht="9" customHeight="1" x14ac:dyDescent="0.25">
      <c r="A11" s="49"/>
      <c r="B11" s="95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6"/>
      <c r="Q11" s="94"/>
      <c r="R11" s="95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6"/>
      <c r="AG11" s="94"/>
      <c r="AH11" s="95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6"/>
      <c r="AW11" s="94"/>
      <c r="AX11" s="95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6"/>
      <c r="BM11" s="97"/>
    </row>
    <row r="12" spans="1:70" s="50" customFormat="1" ht="9" customHeight="1" x14ac:dyDescent="0.25">
      <c r="A12" s="49"/>
      <c r="B12" s="95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6"/>
      <c r="Q12" s="94"/>
      <c r="R12" s="95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6"/>
      <c r="AG12" s="94"/>
      <c r="AH12" s="95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6"/>
      <c r="AW12" s="94"/>
      <c r="AX12" s="95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6"/>
      <c r="BM12" s="97"/>
    </row>
    <row r="13" spans="1:70" s="50" customFormat="1" ht="9" customHeight="1" x14ac:dyDescent="0.25">
      <c r="A13" s="49"/>
      <c r="B13" s="95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6"/>
      <c r="Q13" s="94"/>
      <c r="R13" s="95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6"/>
      <c r="AG13" s="94"/>
      <c r="AH13" s="95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6"/>
      <c r="AW13" s="94"/>
      <c r="AX13" s="95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6"/>
      <c r="BM13" s="97"/>
    </row>
    <row r="14" spans="1:70" s="50" customFormat="1" ht="9" customHeight="1" x14ac:dyDescent="0.25">
      <c r="A14" s="49"/>
      <c r="B14" s="95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6"/>
      <c r="Q14" s="94"/>
      <c r="R14" s="95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6"/>
      <c r="AG14" s="94"/>
      <c r="AH14" s="95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6"/>
      <c r="AW14" s="94"/>
      <c r="AX14" s="95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6"/>
      <c r="BM14" s="97"/>
    </row>
    <row r="15" spans="1:70" s="50" customFormat="1" ht="9" customHeight="1" x14ac:dyDescent="0.25">
      <c r="A15" s="49"/>
      <c r="B15" s="95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6"/>
      <c r="Q15" s="94"/>
      <c r="R15" s="95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6"/>
      <c r="AG15" s="94"/>
      <c r="AH15" s="95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6"/>
      <c r="AW15" s="94"/>
      <c r="AX15" s="95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6"/>
      <c r="BM15" s="97"/>
    </row>
    <row r="16" spans="1:70" s="50" customFormat="1" ht="9" customHeight="1" x14ac:dyDescent="0.25">
      <c r="A16" s="49"/>
      <c r="B16" s="95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6"/>
      <c r="Q16" s="94"/>
      <c r="R16" s="95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6"/>
      <c r="AG16" s="94"/>
      <c r="AH16" s="95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6"/>
      <c r="AW16" s="94"/>
      <c r="AX16" s="95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6"/>
      <c r="BM16" s="97"/>
    </row>
    <row r="17" spans="1:65" s="50" customFormat="1" ht="9" customHeight="1" x14ac:dyDescent="0.25">
      <c r="A17" s="49"/>
      <c r="B17" s="95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6"/>
      <c r="Q17" s="94"/>
      <c r="R17" s="95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6"/>
      <c r="AG17" s="94"/>
      <c r="AH17" s="95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6"/>
      <c r="AW17" s="94"/>
      <c r="AX17" s="95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6"/>
      <c r="BM17" s="97"/>
    </row>
    <row r="18" spans="1:65" s="50" customFormat="1" ht="9" customHeight="1" x14ac:dyDescent="0.25">
      <c r="A18" s="49"/>
      <c r="B18" s="95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6"/>
      <c r="Q18" s="94"/>
      <c r="R18" s="369" t="s">
        <v>90</v>
      </c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1"/>
      <c r="AG18" s="94"/>
      <c r="AH18" s="95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6"/>
      <c r="AW18" s="94"/>
      <c r="AX18" s="92" t="s">
        <v>91</v>
      </c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6"/>
      <c r="BM18" s="97"/>
    </row>
    <row r="19" spans="1:65" s="50" customFormat="1" ht="9" customHeight="1" x14ac:dyDescent="0.25">
      <c r="A19" s="49"/>
      <c r="B19" s="369" t="s">
        <v>90</v>
      </c>
      <c r="C19" s="370"/>
      <c r="D19" s="370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1"/>
      <c r="Q19" s="91"/>
      <c r="R19" s="369" t="s">
        <v>92</v>
      </c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1"/>
      <c r="AG19" s="94"/>
      <c r="AH19" s="297" t="s">
        <v>90</v>
      </c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3"/>
      <c r="AW19" s="94"/>
      <c r="AX19" s="297" t="s">
        <v>93</v>
      </c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3"/>
      <c r="BM19" s="97"/>
    </row>
    <row r="20" spans="1:65" s="50" customFormat="1" ht="9" customHeight="1" x14ac:dyDescent="0.25">
      <c r="A20" s="49"/>
      <c r="B20" s="241" t="s">
        <v>94</v>
      </c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0">
        <f>CEILING(3835*B3,1)</f>
        <v>7287</v>
      </c>
      <c r="O20" s="240"/>
      <c r="P20" s="240"/>
      <c r="Q20" s="2"/>
      <c r="R20" s="241" t="s">
        <v>95</v>
      </c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0">
        <f>CEILING(5915*B3,1)</f>
        <v>11239</v>
      </c>
      <c r="AE20" s="240"/>
      <c r="AF20" s="240"/>
      <c r="AG20" s="2"/>
      <c r="AH20" s="241" t="s">
        <v>96</v>
      </c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0">
        <f>CEILING(3967*B3,1)</f>
        <v>7538</v>
      </c>
      <c r="AU20" s="240"/>
      <c r="AV20" s="240"/>
      <c r="AW20" s="2"/>
      <c r="AX20" s="241" t="s">
        <v>97</v>
      </c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0">
        <f>CEILING(5670*B3,1)</f>
        <v>10773</v>
      </c>
      <c r="BK20" s="240"/>
      <c r="BL20" s="240"/>
      <c r="BM20" s="52"/>
    </row>
    <row r="21" spans="1:65" s="50" customFormat="1" ht="2.1" customHeight="1" x14ac:dyDescent="0.25">
      <c r="A21" s="4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52"/>
    </row>
    <row r="22" spans="1:65" s="50" customFormat="1" ht="9" customHeight="1" x14ac:dyDescent="0.25">
      <c r="A22" s="49"/>
      <c r="B22" s="310">
        <v>2</v>
      </c>
      <c r="C22" s="311"/>
      <c r="D22" s="311"/>
      <c r="E22" s="312"/>
      <c r="F22" s="99"/>
      <c r="G22" s="100"/>
      <c r="H22" s="100"/>
      <c r="I22" s="100"/>
      <c r="J22" s="100"/>
      <c r="K22" s="100"/>
      <c r="L22" s="100"/>
      <c r="M22" s="100"/>
      <c r="N22" s="100"/>
      <c r="O22" s="100"/>
      <c r="P22" s="101"/>
      <c r="Q22" s="91"/>
      <c r="R22" s="310">
        <v>3</v>
      </c>
      <c r="S22" s="311"/>
      <c r="T22" s="311"/>
      <c r="U22" s="312"/>
      <c r="V22" s="99"/>
      <c r="W22" s="100"/>
      <c r="X22" s="100"/>
      <c r="Y22" s="100"/>
      <c r="Z22" s="100"/>
      <c r="AA22" s="100"/>
      <c r="AB22" s="100"/>
      <c r="AC22" s="100"/>
      <c r="AD22" s="100"/>
      <c r="AE22" s="100"/>
      <c r="AF22" s="101"/>
      <c r="AG22" s="94"/>
      <c r="AH22" s="310">
        <v>4</v>
      </c>
      <c r="AI22" s="311"/>
      <c r="AJ22" s="311"/>
      <c r="AK22" s="312"/>
      <c r="AL22" s="366"/>
      <c r="AM22" s="367"/>
      <c r="AN22" s="367"/>
      <c r="AO22" s="367"/>
      <c r="AP22" s="367"/>
      <c r="AQ22" s="367"/>
      <c r="AR22" s="367"/>
      <c r="AS22" s="367"/>
      <c r="AT22" s="367"/>
      <c r="AU22" s="367"/>
      <c r="AV22" s="368"/>
      <c r="AW22" s="91"/>
      <c r="AX22" s="310">
        <v>5</v>
      </c>
      <c r="AY22" s="311"/>
      <c r="AZ22" s="311"/>
      <c r="BA22" s="311"/>
      <c r="BB22" s="311"/>
      <c r="BC22" s="311"/>
      <c r="BD22" s="311"/>
      <c r="BE22" s="311"/>
      <c r="BF22" s="312"/>
      <c r="BG22" s="100"/>
      <c r="BH22" s="100"/>
      <c r="BI22" s="100"/>
      <c r="BJ22" s="100"/>
      <c r="BK22" s="100"/>
      <c r="BL22" s="101"/>
      <c r="BM22" s="52"/>
    </row>
    <row r="23" spans="1:65" s="50" customFormat="1" ht="9" customHeight="1" x14ac:dyDescent="0.25">
      <c r="A23" s="49"/>
      <c r="B23" s="95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6"/>
      <c r="Q23" s="94"/>
      <c r="R23" s="361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3"/>
      <c r="AG23" s="94"/>
      <c r="AH23" s="95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6"/>
      <c r="AW23" s="94"/>
      <c r="AX23" s="95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6"/>
      <c r="BM23" s="97"/>
    </row>
    <row r="24" spans="1:65" s="50" customFormat="1" ht="9" customHeight="1" x14ac:dyDescent="0.25">
      <c r="A24" s="49"/>
      <c r="B24" s="95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6"/>
      <c r="Q24" s="94"/>
      <c r="R24" s="95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6"/>
      <c r="AG24" s="94"/>
      <c r="AH24" s="95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6"/>
      <c r="AW24" s="94"/>
      <c r="AX24" s="95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6"/>
      <c r="BM24" s="97"/>
    </row>
    <row r="25" spans="1:65" s="50" customFormat="1" ht="9" customHeight="1" x14ac:dyDescent="0.25">
      <c r="A25" s="49"/>
      <c r="B25" s="95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6"/>
      <c r="Q25" s="94"/>
      <c r="R25" s="95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6"/>
      <c r="AG25" s="94"/>
      <c r="AH25" s="95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6"/>
      <c r="AW25" s="94"/>
      <c r="AX25" s="95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6"/>
      <c r="BM25" s="97"/>
    </row>
    <row r="26" spans="1:65" s="50" customFormat="1" ht="9" customHeight="1" x14ac:dyDescent="0.25">
      <c r="A26" s="49"/>
      <c r="B26" s="95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6"/>
      <c r="Q26" s="94"/>
      <c r="R26" s="95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6"/>
      <c r="AG26" s="94"/>
      <c r="AH26" s="95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6"/>
      <c r="AW26" s="94"/>
      <c r="AX26" s="95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6"/>
      <c r="BM26" s="97"/>
    </row>
    <row r="27" spans="1:65" s="50" customFormat="1" ht="9" customHeight="1" x14ac:dyDescent="0.25">
      <c r="A27" s="49"/>
      <c r="B27" s="95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6"/>
      <c r="Q27" s="94"/>
      <c r="R27" s="95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6"/>
      <c r="AG27" s="94"/>
      <c r="AH27" s="95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6"/>
      <c r="AW27" s="94"/>
      <c r="AX27" s="95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6"/>
      <c r="BM27" s="97"/>
    </row>
    <row r="28" spans="1:65" s="50" customFormat="1" ht="9" customHeight="1" x14ac:dyDescent="0.25">
      <c r="A28" s="49"/>
      <c r="B28" s="95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6"/>
      <c r="Q28" s="94"/>
      <c r="R28" s="95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6"/>
      <c r="AG28" s="94"/>
      <c r="AH28" s="95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6"/>
      <c r="AW28" s="94"/>
      <c r="AX28" s="95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6"/>
      <c r="BM28" s="97"/>
    </row>
    <row r="29" spans="1:65" s="50" customFormat="1" ht="9" customHeight="1" x14ac:dyDescent="0.25">
      <c r="A29" s="49"/>
      <c r="B29" s="95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6"/>
      <c r="Q29" s="94"/>
      <c r="R29" s="95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6"/>
      <c r="AG29" s="94"/>
      <c r="AH29" s="95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6"/>
      <c r="AW29" s="94"/>
      <c r="AX29" s="95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6"/>
      <c r="BM29" s="97"/>
    </row>
    <row r="30" spans="1:65" s="50" customFormat="1" ht="9" customHeight="1" x14ac:dyDescent="0.25">
      <c r="A30" s="49"/>
      <c r="B30" s="95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6"/>
      <c r="Q30" s="94"/>
      <c r="R30" s="95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6"/>
      <c r="AG30" s="94"/>
      <c r="AH30" s="95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6"/>
      <c r="AW30" s="94"/>
      <c r="AX30" s="95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6"/>
      <c r="BM30" s="97"/>
    </row>
    <row r="31" spans="1:65" s="50" customFormat="1" ht="9" customHeight="1" x14ac:dyDescent="0.25">
      <c r="A31" s="49"/>
      <c r="B31" s="95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6"/>
      <c r="Q31" s="94"/>
      <c r="R31" s="95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6"/>
      <c r="AG31" s="94"/>
      <c r="AH31" s="95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6"/>
      <c r="AW31" s="94"/>
      <c r="AX31" s="95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6"/>
      <c r="BM31" s="97"/>
    </row>
    <row r="32" spans="1:65" s="50" customFormat="1" ht="9" customHeight="1" x14ac:dyDescent="0.25">
      <c r="A32" s="49"/>
      <c r="B32" s="92" t="s">
        <v>91</v>
      </c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6"/>
      <c r="Q32" s="94"/>
      <c r="R32" s="92" t="s">
        <v>91</v>
      </c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6"/>
      <c r="AG32" s="94"/>
      <c r="AH32" s="297" t="s">
        <v>91</v>
      </c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3"/>
      <c r="AW32" s="94"/>
      <c r="AX32" s="92" t="s">
        <v>91</v>
      </c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6"/>
      <c r="BM32" s="97"/>
    </row>
    <row r="33" spans="1:66" s="50" customFormat="1" ht="9" customHeight="1" x14ac:dyDescent="0.25">
      <c r="A33" s="49"/>
      <c r="B33" s="297" t="s">
        <v>98</v>
      </c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3"/>
      <c r="Q33" s="91"/>
      <c r="R33" s="297" t="s">
        <v>99</v>
      </c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3"/>
      <c r="AG33" s="94"/>
      <c r="AH33" s="297" t="s">
        <v>100</v>
      </c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3"/>
      <c r="AW33" s="94"/>
      <c r="AX33" s="297" t="s">
        <v>101</v>
      </c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3"/>
      <c r="BM33" s="97"/>
    </row>
    <row r="34" spans="1:66" s="50" customFormat="1" ht="9" customHeight="1" x14ac:dyDescent="0.25">
      <c r="A34" s="49"/>
      <c r="B34" s="241" t="s">
        <v>29</v>
      </c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0">
        <f>CEILING(4336*B3,1)</f>
        <v>8239</v>
      </c>
      <c r="O34" s="240"/>
      <c r="P34" s="240"/>
      <c r="Q34" s="2"/>
      <c r="R34" s="241" t="s">
        <v>29</v>
      </c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0">
        <f>CEILING(3442*B3,1)</f>
        <v>6540</v>
      </c>
      <c r="AE34" s="240"/>
      <c r="AF34" s="240"/>
      <c r="AG34" s="2"/>
      <c r="AH34" s="241" t="s">
        <v>29</v>
      </c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0">
        <f>CEILING(3003*B3,1)</f>
        <v>5706</v>
      </c>
      <c r="AU34" s="240"/>
      <c r="AV34" s="240"/>
      <c r="AW34" s="2"/>
      <c r="AX34" s="241" t="s">
        <v>29</v>
      </c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0">
        <f>CEILING(3279*B3,1)</f>
        <v>6231</v>
      </c>
      <c r="BK34" s="240"/>
      <c r="BL34" s="240"/>
      <c r="BM34" s="52"/>
    </row>
    <row r="35" spans="1:66" s="50" customFormat="1" ht="2.1" customHeight="1" x14ac:dyDescent="0.25">
      <c r="A35" s="49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52"/>
    </row>
    <row r="36" spans="1:66" s="50" customFormat="1" ht="9" customHeight="1" x14ac:dyDescent="0.25">
      <c r="A36" s="49"/>
      <c r="B36" s="310">
        <v>6</v>
      </c>
      <c r="C36" s="311"/>
      <c r="D36" s="311"/>
      <c r="E36" s="311"/>
      <c r="F36" s="311"/>
      <c r="G36" s="311"/>
      <c r="H36" s="311"/>
      <c r="I36" s="311"/>
      <c r="J36" s="312"/>
      <c r="K36" s="100"/>
      <c r="L36" s="100"/>
      <c r="M36" s="100"/>
      <c r="N36" s="100"/>
      <c r="O36" s="100"/>
      <c r="P36" s="101"/>
      <c r="Q36" s="91"/>
      <c r="R36" s="310">
        <v>7</v>
      </c>
      <c r="S36" s="311"/>
      <c r="T36" s="311"/>
      <c r="U36" s="311"/>
      <c r="V36" s="311"/>
      <c r="W36" s="311"/>
      <c r="X36" s="311"/>
      <c r="Y36" s="311"/>
      <c r="Z36" s="312"/>
      <c r="AA36" s="100"/>
      <c r="AB36" s="100"/>
      <c r="AC36" s="100"/>
      <c r="AD36" s="100"/>
      <c r="AE36" s="100"/>
      <c r="AF36" s="101"/>
      <c r="AG36" s="94"/>
      <c r="AH36" s="310">
        <v>8</v>
      </c>
      <c r="AI36" s="311"/>
      <c r="AJ36" s="311"/>
      <c r="AK36" s="311"/>
      <c r="AL36" s="311"/>
      <c r="AM36" s="311"/>
      <c r="AN36" s="311"/>
      <c r="AO36" s="311"/>
      <c r="AP36" s="312"/>
      <c r="AQ36" s="100"/>
      <c r="AR36" s="100"/>
      <c r="AS36" s="100"/>
      <c r="AT36" s="100"/>
      <c r="AU36" s="100"/>
      <c r="AV36" s="101"/>
      <c r="AW36" s="91"/>
      <c r="AX36" s="310">
        <v>9</v>
      </c>
      <c r="AY36" s="311"/>
      <c r="AZ36" s="311"/>
      <c r="BA36" s="311"/>
      <c r="BB36" s="311"/>
      <c r="BC36" s="311"/>
      <c r="BD36" s="311"/>
      <c r="BE36" s="311"/>
      <c r="BF36" s="312"/>
      <c r="BG36" s="100"/>
      <c r="BH36" s="100"/>
      <c r="BI36" s="100"/>
      <c r="BJ36" s="100"/>
      <c r="BK36" s="100"/>
      <c r="BL36" s="101"/>
      <c r="BM36" s="52"/>
    </row>
    <row r="37" spans="1:66" s="50" customFormat="1" ht="9" customHeight="1" x14ac:dyDescent="0.25">
      <c r="A37" s="49"/>
      <c r="B37" s="95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6"/>
      <c r="Q37" s="94"/>
      <c r="R37" s="95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6"/>
      <c r="AG37" s="94"/>
      <c r="AH37" s="95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6"/>
      <c r="AW37" s="94"/>
      <c r="AX37" s="95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6"/>
      <c r="BM37" s="97"/>
      <c r="BN37" s="102"/>
    </row>
    <row r="38" spans="1:66" s="50" customFormat="1" ht="9" customHeight="1" x14ac:dyDescent="0.25">
      <c r="A38" s="49"/>
      <c r="B38" s="95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6"/>
      <c r="Q38" s="94"/>
      <c r="R38" s="361"/>
      <c r="S38" s="362"/>
      <c r="T38" s="362"/>
      <c r="U38" s="362"/>
      <c r="V38" s="362"/>
      <c r="W38" s="362"/>
      <c r="X38" s="362"/>
      <c r="Y38" s="362"/>
      <c r="Z38" s="94"/>
      <c r="AA38" s="94"/>
      <c r="AB38" s="94"/>
      <c r="AC38" s="94"/>
      <c r="AD38" s="94"/>
      <c r="AE38" s="94"/>
      <c r="AF38" s="96"/>
      <c r="AG38" s="94"/>
      <c r="AH38" s="95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6"/>
      <c r="AW38" s="94"/>
      <c r="AX38" s="95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6"/>
      <c r="BM38" s="97"/>
    </row>
    <row r="39" spans="1:66" s="50" customFormat="1" ht="9" customHeight="1" x14ac:dyDescent="0.25">
      <c r="A39" s="49"/>
      <c r="B39" s="95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6"/>
      <c r="Q39" s="94"/>
      <c r="R39" s="95"/>
      <c r="S39" s="94"/>
      <c r="T39" s="94"/>
      <c r="U39" s="94"/>
      <c r="V39" s="94"/>
      <c r="W39" s="94"/>
      <c r="X39" s="94"/>
      <c r="Y39" s="94"/>
      <c r="Z39" s="362"/>
      <c r="AA39" s="362"/>
      <c r="AB39" s="362"/>
      <c r="AC39" s="362"/>
      <c r="AD39" s="362"/>
      <c r="AE39" s="362"/>
      <c r="AF39" s="363"/>
      <c r="AG39" s="94"/>
      <c r="AH39" s="95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6"/>
      <c r="AW39" s="94"/>
      <c r="AX39" s="95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6"/>
      <c r="BM39" s="97"/>
    </row>
    <row r="40" spans="1:66" s="50" customFormat="1" ht="9" customHeight="1" x14ac:dyDescent="0.25">
      <c r="A40" s="49"/>
      <c r="B40" s="95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6"/>
      <c r="Q40" s="94"/>
      <c r="R40" s="95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6"/>
      <c r="AG40" s="94"/>
      <c r="AH40" s="95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6"/>
      <c r="AW40" s="94"/>
      <c r="AX40" s="95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6"/>
      <c r="BM40" s="97"/>
    </row>
    <row r="41" spans="1:66" s="50" customFormat="1" ht="9" customHeight="1" x14ac:dyDescent="0.25">
      <c r="A41" s="49"/>
      <c r="B41" s="95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6"/>
      <c r="Q41" s="94"/>
      <c r="R41" s="95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6"/>
      <c r="AG41" s="94"/>
      <c r="AH41" s="95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6"/>
      <c r="AW41" s="94"/>
      <c r="AX41" s="95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6"/>
      <c r="BM41" s="97"/>
    </row>
    <row r="42" spans="1:66" s="50" customFormat="1" ht="9" customHeight="1" x14ac:dyDescent="0.25">
      <c r="A42" s="49"/>
      <c r="B42" s="95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6"/>
      <c r="Q42" s="94"/>
      <c r="R42" s="95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6"/>
      <c r="AG42" s="94"/>
      <c r="AH42" s="95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6"/>
      <c r="AW42" s="94"/>
      <c r="AX42" s="95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6"/>
      <c r="BM42" s="97"/>
    </row>
    <row r="43" spans="1:66" s="50" customFormat="1" ht="9" customHeight="1" x14ac:dyDescent="0.25">
      <c r="A43" s="49"/>
      <c r="B43" s="95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6"/>
      <c r="Q43" s="94"/>
      <c r="R43" s="95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6"/>
      <c r="AG43" s="94"/>
      <c r="AH43" s="95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6"/>
      <c r="AW43" s="94"/>
      <c r="AX43" s="95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6"/>
      <c r="BM43" s="97"/>
    </row>
    <row r="44" spans="1:66" s="50" customFormat="1" ht="9" customHeight="1" x14ac:dyDescent="0.25">
      <c r="A44" s="49"/>
      <c r="B44" s="95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6"/>
      <c r="Q44" s="94"/>
      <c r="R44" s="95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6"/>
      <c r="AG44" s="94"/>
      <c r="AH44" s="95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6"/>
      <c r="AW44" s="94"/>
      <c r="AX44" s="95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6"/>
      <c r="BM44" s="97"/>
    </row>
    <row r="45" spans="1:66" s="50" customFormat="1" ht="9" customHeight="1" x14ac:dyDescent="0.25">
      <c r="A45" s="49"/>
      <c r="B45" s="95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6"/>
      <c r="Q45" s="94"/>
      <c r="R45" s="95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6"/>
      <c r="AG45" s="94"/>
      <c r="AH45" s="95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6"/>
      <c r="AW45" s="94"/>
      <c r="AX45" s="95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6"/>
      <c r="BM45" s="97"/>
    </row>
    <row r="46" spans="1:66" s="50" customFormat="1" ht="9" customHeight="1" x14ac:dyDescent="0.25">
      <c r="A46" s="49"/>
      <c r="B46" s="92" t="s">
        <v>91</v>
      </c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6"/>
      <c r="Q46" s="94"/>
      <c r="R46" s="92" t="s">
        <v>91</v>
      </c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6"/>
      <c r="AG46" s="94"/>
      <c r="AH46" s="92" t="s">
        <v>102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6"/>
      <c r="AW46" s="94"/>
      <c r="AX46" s="92" t="s">
        <v>91</v>
      </c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6"/>
      <c r="BM46" s="97"/>
    </row>
    <row r="47" spans="1:66" s="50" customFormat="1" ht="9" customHeight="1" x14ac:dyDescent="0.25">
      <c r="A47" s="49"/>
      <c r="B47" s="297" t="s">
        <v>103</v>
      </c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3"/>
      <c r="Q47" s="91"/>
      <c r="R47" s="297" t="s">
        <v>104</v>
      </c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3"/>
      <c r="AG47" s="94"/>
      <c r="AH47" s="364" t="s">
        <v>105</v>
      </c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  <c r="AT47" s="365">
        <f>CEILING(5739*B3,1)</f>
        <v>10905</v>
      </c>
      <c r="AU47" s="365"/>
      <c r="AV47" s="365"/>
      <c r="AW47" s="94"/>
      <c r="AX47" s="297" t="s">
        <v>106</v>
      </c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3"/>
      <c r="BM47" s="97"/>
    </row>
    <row r="48" spans="1:66" s="50" customFormat="1" ht="9" customHeight="1" x14ac:dyDescent="0.25">
      <c r="A48" s="49"/>
      <c r="B48" s="241" t="s">
        <v>29</v>
      </c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0">
        <f>CEILING(2947*B3,1)</f>
        <v>5600</v>
      </c>
      <c r="O48" s="240"/>
      <c r="P48" s="240"/>
      <c r="Q48" s="2"/>
      <c r="R48" s="241" t="s">
        <v>22</v>
      </c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0">
        <f>CEILING(1978*B3,1)</f>
        <v>3759</v>
      </c>
      <c r="AE48" s="240"/>
      <c r="AF48" s="240"/>
      <c r="AG48" s="2"/>
      <c r="AH48" s="241" t="s">
        <v>107</v>
      </c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0">
        <f>CEILING(1033*B3,1)</f>
        <v>1963</v>
      </c>
      <c r="AU48" s="240"/>
      <c r="AV48" s="240"/>
      <c r="AW48" s="2"/>
      <c r="AX48" s="241"/>
      <c r="AY48" s="241"/>
      <c r="AZ48" s="241"/>
      <c r="BA48" s="241"/>
      <c r="BB48" s="241"/>
      <c r="BC48" s="241"/>
      <c r="BD48" s="241"/>
      <c r="BE48" s="241"/>
      <c r="BF48" s="241"/>
      <c r="BG48" s="241"/>
      <c r="BH48" s="241"/>
      <c r="BI48" s="241"/>
      <c r="BJ48" s="240">
        <f>CEILING(4639*B3,1)</f>
        <v>8815</v>
      </c>
      <c r="BK48" s="240"/>
      <c r="BL48" s="240"/>
      <c r="BM48" s="52"/>
    </row>
    <row r="49" spans="1:65" s="50" customFormat="1" ht="2.1" customHeight="1" x14ac:dyDescent="0.25">
      <c r="A49" s="49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103"/>
      <c r="AX49" s="103"/>
      <c r="AY49" s="103"/>
      <c r="AZ49" s="103"/>
      <c r="BA49" s="103"/>
      <c r="BB49" s="103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52"/>
    </row>
    <row r="50" spans="1:65" s="50" customFormat="1" ht="9" customHeight="1" x14ac:dyDescent="0.25">
      <c r="A50" s="49" t="s">
        <v>108</v>
      </c>
      <c r="B50" s="310">
        <v>10</v>
      </c>
      <c r="C50" s="311"/>
      <c r="D50" s="311"/>
      <c r="E50" s="312"/>
      <c r="F50" s="99"/>
      <c r="G50" s="100"/>
      <c r="H50" s="100"/>
      <c r="I50" s="100"/>
      <c r="J50" s="100"/>
      <c r="K50" s="100"/>
      <c r="L50" s="100"/>
      <c r="M50" s="100"/>
      <c r="N50" s="100"/>
      <c r="O50" s="100"/>
      <c r="P50" s="101"/>
      <c r="Q50" s="91"/>
      <c r="R50" s="359" t="s">
        <v>109</v>
      </c>
      <c r="S50" s="360"/>
      <c r="T50" s="360"/>
      <c r="U50" s="360"/>
      <c r="V50" s="360"/>
      <c r="W50" s="360"/>
      <c r="X50" s="360"/>
      <c r="Y50" s="360"/>
      <c r="Z50" s="360"/>
      <c r="AA50" s="100"/>
      <c r="AB50" s="100"/>
      <c r="AC50" s="100"/>
      <c r="AD50" s="100"/>
      <c r="AE50" s="100"/>
      <c r="AF50" s="101"/>
      <c r="AG50" s="94"/>
      <c r="AH50" s="310" t="s">
        <v>110</v>
      </c>
      <c r="AI50" s="311"/>
      <c r="AJ50" s="311"/>
      <c r="AK50" s="311"/>
      <c r="AL50" s="311"/>
      <c r="AM50" s="311"/>
      <c r="AN50" s="311"/>
      <c r="AO50" s="311"/>
      <c r="AP50" s="312"/>
      <c r="AQ50" s="100"/>
      <c r="AR50" s="100"/>
      <c r="AS50" s="100"/>
      <c r="AT50" s="100"/>
      <c r="AU50" s="100"/>
      <c r="AV50" s="101"/>
      <c r="AW50" s="91"/>
      <c r="AX50" s="310" t="s">
        <v>111</v>
      </c>
      <c r="AY50" s="311"/>
      <c r="AZ50" s="311"/>
      <c r="BA50" s="311"/>
      <c r="BB50" s="311"/>
      <c r="BC50" s="311"/>
      <c r="BD50" s="311"/>
      <c r="BE50" s="311"/>
      <c r="BF50" s="312"/>
      <c r="BG50" s="100"/>
      <c r="BH50" s="100"/>
      <c r="BI50" s="100"/>
      <c r="BJ50" s="100"/>
      <c r="BK50" s="100"/>
      <c r="BL50" s="101"/>
      <c r="BM50" s="52"/>
    </row>
    <row r="51" spans="1:65" s="50" customFormat="1" ht="9" customHeight="1" x14ac:dyDescent="0.25">
      <c r="A51" s="49"/>
      <c r="B51" s="95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6"/>
      <c r="Q51" s="94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6"/>
      <c r="AG51" s="94"/>
      <c r="AH51" s="95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6"/>
      <c r="AW51" s="94"/>
      <c r="AX51" s="95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6"/>
      <c r="BM51" s="97"/>
    </row>
    <row r="52" spans="1:65" s="50" customFormat="1" ht="9" customHeight="1" x14ac:dyDescent="0.25">
      <c r="A52" s="49"/>
      <c r="B52" s="95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6"/>
      <c r="Q52" s="94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6"/>
      <c r="AG52" s="94"/>
      <c r="AH52" s="95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6"/>
      <c r="AW52" s="94"/>
      <c r="AX52" s="95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6"/>
      <c r="BM52" s="97"/>
    </row>
    <row r="53" spans="1:65" s="50" customFormat="1" ht="9" customHeight="1" x14ac:dyDescent="0.25">
      <c r="A53" s="49"/>
      <c r="B53" s="95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6"/>
      <c r="Q53" s="94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6"/>
      <c r="AG53" s="94"/>
      <c r="AH53" s="95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6"/>
      <c r="AW53" s="94"/>
      <c r="AX53" s="95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6"/>
      <c r="BM53" s="97"/>
    </row>
    <row r="54" spans="1:65" s="50" customFormat="1" ht="9" customHeight="1" x14ac:dyDescent="0.25">
      <c r="A54" s="49"/>
      <c r="B54" s="95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6"/>
      <c r="Q54" s="94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6"/>
      <c r="AG54" s="94"/>
      <c r="AH54" s="95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6"/>
      <c r="AW54" s="94"/>
      <c r="AX54" s="95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6"/>
      <c r="BM54" s="97"/>
    </row>
    <row r="55" spans="1:65" s="50" customFormat="1" ht="9" customHeight="1" x14ac:dyDescent="0.25">
      <c r="A55" s="49"/>
      <c r="B55" s="95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6"/>
      <c r="Q55" s="94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6"/>
      <c r="AG55" s="94"/>
      <c r="AH55" s="95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6"/>
      <c r="AW55" s="94"/>
      <c r="AX55" s="95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6"/>
      <c r="BM55" s="97"/>
    </row>
    <row r="56" spans="1:65" s="50" customFormat="1" ht="9" customHeight="1" x14ac:dyDescent="0.25">
      <c r="A56" s="49"/>
      <c r="B56" s="95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6"/>
      <c r="Q56" s="94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6"/>
      <c r="AG56" s="94"/>
      <c r="AH56" s="95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6"/>
      <c r="AW56" s="94"/>
      <c r="AX56" s="95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6"/>
      <c r="BM56" s="97"/>
    </row>
    <row r="57" spans="1:65" s="50" customFormat="1" ht="9" customHeight="1" x14ac:dyDescent="0.25">
      <c r="A57" s="49"/>
      <c r="B57" s="95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6"/>
      <c r="Q57" s="94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6"/>
      <c r="AG57" s="94"/>
      <c r="AH57" s="95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6"/>
      <c r="AW57" s="94"/>
      <c r="AX57" s="95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6"/>
      <c r="BM57" s="97"/>
    </row>
    <row r="58" spans="1:65" s="50" customFormat="1" ht="9" customHeight="1" x14ac:dyDescent="0.25">
      <c r="A58" s="49"/>
      <c r="B58" s="95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6"/>
      <c r="Q58" s="94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6"/>
      <c r="AG58" s="94"/>
      <c r="AH58" s="95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6"/>
      <c r="AW58" s="94"/>
      <c r="AX58" s="95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6"/>
      <c r="BM58" s="97"/>
    </row>
    <row r="59" spans="1:65" s="50" customFormat="1" ht="9" customHeight="1" x14ac:dyDescent="0.25">
      <c r="A59" s="49"/>
      <c r="B59" s="95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6"/>
      <c r="Q59" s="94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6"/>
      <c r="AG59" s="94"/>
      <c r="AH59" s="95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6"/>
      <c r="AW59" s="94"/>
      <c r="AX59" s="95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6"/>
      <c r="BM59" s="97"/>
    </row>
    <row r="60" spans="1:65" s="50" customFormat="1" ht="9" customHeight="1" x14ac:dyDescent="0.25">
      <c r="A60" s="49"/>
      <c r="B60" s="297" t="s">
        <v>112</v>
      </c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3"/>
      <c r="Q60" s="94"/>
      <c r="R60" s="92" t="s">
        <v>113</v>
      </c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6"/>
      <c r="AG60" s="94"/>
      <c r="AH60" s="297" t="s">
        <v>114</v>
      </c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3"/>
      <c r="AW60" s="94"/>
      <c r="AX60" s="297" t="s">
        <v>115</v>
      </c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3"/>
      <c r="BM60" s="97"/>
    </row>
    <row r="61" spans="1:65" s="50" customFormat="1" ht="9" customHeight="1" x14ac:dyDescent="0.25">
      <c r="A61" s="49"/>
      <c r="B61" s="297" t="s">
        <v>116</v>
      </c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3"/>
      <c r="Q61" s="98"/>
      <c r="R61" s="241" t="s">
        <v>117</v>
      </c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0">
        <f>CEILING(2985*B3,1)</f>
        <v>5672</v>
      </c>
      <c r="AE61" s="240"/>
      <c r="AF61" s="240"/>
      <c r="AG61" s="107"/>
      <c r="AH61" s="297" t="s">
        <v>118</v>
      </c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3"/>
      <c r="AW61" s="107"/>
      <c r="AX61" s="297" t="s">
        <v>119</v>
      </c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3"/>
      <c r="BM61" s="97"/>
    </row>
    <row r="62" spans="1:65" s="50" customFormat="1" ht="9" customHeight="1" x14ac:dyDescent="0.25">
      <c r="A62" s="49"/>
      <c r="B62" s="241" t="s">
        <v>120</v>
      </c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0">
        <f>CEILING(3680*B3,1)</f>
        <v>6992</v>
      </c>
      <c r="O62" s="240"/>
      <c r="P62" s="240"/>
      <c r="Q62" s="2"/>
      <c r="R62" s="241" t="s">
        <v>121</v>
      </c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0">
        <f>CEILING(3390*B3,1)</f>
        <v>6441</v>
      </c>
      <c r="AE62" s="240"/>
      <c r="AF62" s="240"/>
      <c r="AG62" s="2"/>
      <c r="AH62" s="241" t="s">
        <v>122</v>
      </c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0">
        <f>CEILING(6502*B3,1)</f>
        <v>12354</v>
      </c>
      <c r="AU62" s="240"/>
      <c r="AV62" s="240"/>
      <c r="AW62" s="2"/>
      <c r="AX62" s="241" t="s">
        <v>123</v>
      </c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0">
        <f>CEILING(6313*B3,1)</f>
        <v>11995</v>
      </c>
      <c r="BK62" s="240"/>
      <c r="BL62" s="240"/>
      <c r="BM62" s="52"/>
    </row>
    <row r="63" spans="1:65" s="50" customFormat="1" ht="2.1" customHeight="1" x14ac:dyDescent="0.25">
      <c r="A63" s="49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52"/>
    </row>
    <row r="64" spans="1:65" s="50" customFormat="1" ht="9" customHeight="1" x14ac:dyDescent="0.25">
      <c r="A64" s="49"/>
      <c r="B64" s="321" t="s">
        <v>124</v>
      </c>
      <c r="C64" s="322"/>
      <c r="D64" s="322"/>
      <c r="E64" s="322"/>
      <c r="F64" s="322"/>
      <c r="G64" s="322"/>
      <c r="H64" s="322"/>
      <c r="I64" s="322"/>
      <c r="J64" s="323"/>
      <c r="K64" s="69"/>
      <c r="L64" s="69"/>
      <c r="M64" s="69"/>
      <c r="N64" s="69"/>
      <c r="O64" s="69"/>
      <c r="P64" s="70"/>
      <c r="Q64" s="55"/>
      <c r="R64" s="321" t="s">
        <v>125</v>
      </c>
      <c r="S64" s="322"/>
      <c r="T64" s="322"/>
      <c r="U64" s="322"/>
      <c r="V64" s="322"/>
      <c r="W64" s="322"/>
      <c r="X64" s="322"/>
      <c r="Y64" s="322"/>
      <c r="Z64" s="323"/>
      <c r="AA64" s="69"/>
      <c r="AB64" s="69"/>
      <c r="AC64" s="69"/>
      <c r="AD64" s="69"/>
      <c r="AE64" s="69"/>
      <c r="AF64" s="70"/>
      <c r="AG64" s="8"/>
      <c r="AH64" s="321" t="s">
        <v>126</v>
      </c>
      <c r="AI64" s="322"/>
      <c r="AJ64" s="322"/>
      <c r="AK64" s="322"/>
      <c r="AL64" s="322"/>
      <c r="AM64" s="322"/>
      <c r="AN64" s="322"/>
      <c r="AO64" s="322"/>
      <c r="AP64" s="323"/>
      <c r="AQ64" s="69"/>
      <c r="AR64" s="69"/>
      <c r="AS64" s="69"/>
      <c r="AT64" s="69"/>
      <c r="AU64" s="69"/>
      <c r="AV64" s="70"/>
      <c r="AW64" s="55"/>
      <c r="AX64" s="321" t="s">
        <v>127</v>
      </c>
      <c r="AY64" s="322"/>
      <c r="AZ64" s="322"/>
      <c r="BA64" s="322"/>
      <c r="BB64" s="322"/>
      <c r="BC64" s="322"/>
      <c r="BD64" s="322"/>
      <c r="BE64" s="322"/>
      <c r="BF64" s="323"/>
      <c r="BG64" s="69"/>
      <c r="BH64" s="69"/>
      <c r="BI64" s="69"/>
      <c r="BJ64" s="69"/>
      <c r="BK64" s="69"/>
      <c r="BL64" s="70"/>
      <c r="BM64" s="52"/>
    </row>
    <row r="65" spans="1:65" s="50" customFormat="1" ht="9" customHeight="1" x14ac:dyDescent="0.25">
      <c r="A65" s="49"/>
      <c r="B65" s="9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10"/>
      <c r="Q65" s="8"/>
      <c r="R65" s="9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10"/>
      <c r="AG65" s="8"/>
      <c r="AH65" s="108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10"/>
      <c r="AW65" s="8"/>
      <c r="AX65" s="9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10"/>
      <c r="BM65" s="97"/>
    </row>
    <row r="66" spans="1:65" s="50" customFormat="1" ht="9" customHeight="1" x14ac:dyDescent="0.25">
      <c r="A66" s="49"/>
      <c r="B66" s="9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10"/>
      <c r="Q66" s="8"/>
      <c r="R66" s="9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10"/>
      <c r="AG66" s="8"/>
      <c r="AH66" s="108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10"/>
      <c r="AW66" s="8"/>
      <c r="AX66" s="9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10"/>
      <c r="BM66" s="97"/>
    </row>
    <row r="67" spans="1:65" s="50" customFormat="1" ht="9" customHeight="1" x14ac:dyDescent="0.25">
      <c r="A67" s="49"/>
      <c r="B67" s="9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10"/>
      <c r="Q67" s="8"/>
      <c r="R67" s="9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10"/>
      <c r="AG67" s="8"/>
      <c r="AH67" s="108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10"/>
      <c r="AW67" s="8"/>
      <c r="AX67" s="9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10"/>
      <c r="BM67" s="97"/>
    </row>
    <row r="68" spans="1:65" s="50" customFormat="1" ht="9" customHeight="1" x14ac:dyDescent="0.25">
      <c r="A68" s="49"/>
      <c r="B68" s="9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10"/>
      <c r="Q68" s="8"/>
      <c r="R68" s="9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10"/>
      <c r="AG68" s="8"/>
      <c r="AH68" s="108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10"/>
      <c r="AW68" s="8"/>
      <c r="AX68" s="9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10"/>
      <c r="BM68" s="97"/>
    </row>
    <row r="69" spans="1:65" s="50" customFormat="1" ht="9" customHeight="1" x14ac:dyDescent="0.25">
      <c r="A69" s="49"/>
      <c r="B69" s="9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10"/>
      <c r="Q69" s="8"/>
      <c r="R69" s="9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10"/>
      <c r="AG69" s="8"/>
      <c r="AH69" s="108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10"/>
      <c r="AW69" s="8"/>
      <c r="AX69" s="9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10"/>
      <c r="BM69" s="97"/>
    </row>
    <row r="70" spans="1:65" s="50" customFormat="1" ht="9" customHeight="1" x14ac:dyDescent="0.25">
      <c r="A70" s="49"/>
      <c r="B70" s="9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10"/>
      <c r="Q70" s="8"/>
      <c r="R70" s="9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10"/>
      <c r="AG70" s="8"/>
      <c r="AH70" s="108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10"/>
      <c r="AW70" s="8"/>
      <c r="AX70" s="9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10"/>
      <c r="BM70" s="97"/>
    </row>
    <row r="71" spans="1:65" s="50" customFormat="1" ht="9" customHeight="1" x14ac:dyDescent="0.25">
      <c r="A71" s="49"/>
      <c r="B71" s="9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10"/>
      <c r="Q71" s="8"/>
      <c r="R71" s="9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10"/>
      <c r="AG71" s="8"/>
      <c r="AH71" s="108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10"/>
      <c r="AW71" s="8"/>
      <c r="AX71" s="9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10"/>
      <c r="BM71" s="97"/>
    </row>
    <row r="72" spans="1:65" s="50" customFormat="1" ht="9" customHeight="1" x14ac:dyDescent="0.25">
      <c r="A72" s="49"/>
      <c r="B72" s="9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10"/>
      <c r="Q72" s="8"/>
      <c r="R72" s="9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10"/>
      <c r="AG72" s="8"/>
      <c r="AH72" s="108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10"/>
      <c r="AW72" s="8"/>
      <c r="AX72" s="9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10"/>
      <c r="BM72" s="97"/>
    </row>
    <row r="73" spans="1:65" s="50" customFormat="1" ht="9" customHeight="1" x14ac:dyDescent="0.25">
      <c r="A73" s="49"/>
      <c r="B73" s="9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10"/>
      <c r="Q73" s="8"/>
      <c r="R73" s="9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10"/>
      <c r="AG73" s="8"/>
      <c r="AH73" s="108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10"/>
      <c r="AW73" s="8"/>
      <c r="AX73" s="9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10"/>
      <c r="BM73" s="97"/>
    </row>
    <row r="74" spans="1:65" s="50" customFormat="1" ht="9" customHeight="1" x14ac:dyDescent="0.25">
      <c r="A74" s="49"/>
      <c r="B74" s="9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10"/>
      <c r="Q74" s="8"/>
      <c r="R74" s="54" t="s">
        <v>128</v>
      </c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10"/>
      <c r="AG74" s="8"/>
      <c r="AH74" s="54" t="s">
        <v>129</v>
      </c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10"/>
      <c r="AW74" s="8"/>
      <c r="AX74" s="327"/>
      <c r="AY74" s="328"/>
      <c r="AZ74" s="328"/>
      <c r="BA74" s="328"/>
      <c r="BB74" s="328"/>
      <c r="BC74" s="328"/>
      <c r="BD74" s="328"/>
      <c r="BE74" s="328"/>
      <c r="BF74" s="328"/>
      <c r="BG74" s="328"/>
      <c r="BH74" s="328"/>
      <c r="BI74" s="328"/>
      <c r="BJ74" s="328"/>
      <c r="BK74" s="328"/>
      <c r="BL74" s="329"/>
      <c r="BM74" s="97"/>
    </row>
    <row r="75" spans="1:65" s="50" customFormat="1" ht="9" customHeight="1" x14ac:dyDescent="0.25">
      <c r="A75" s="49"/>
      <c r="B75" s="327" t="s">
        <v>128</v>
      </c>
      <c r="C75" s="328"/>
      <c r="D75" s="328"/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9"/>
      <c r="Q75" s="111"/>
      <c r="R75" s="241" t="s">
        <v>130</v>
      </c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0">
        <f>CEILING(6774*B3,1)</f>
        <v>12871</v>
      </c>
      <c r="AE75" s="240"/>
      <c r="AF75" s="240"/>
      <c r="AG75" s="112"/>
      <c r="AH75" s="241" t="s">
        <v>131</v>
      </c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0">
        <f>CEILING(4067*B3,1)</f>
        <v>7728</v>
      </c>
      <c r="AU75" s="240"/>
      <c r="AV75" s="240"/>
      <c r="AW75" s="113"/>
      <c r="AX75" s="327" t="s">
        <v>129</v>
      </c>
      <c r="AY75" s="328"/>
      <c r="AZ75" s="328"/>
      <c r="BA75" s="328"/>
      <c r="BB75" s="328"/>
      <c r="BC75" s="328"/>
      <c r="BD75" s="328"/>
      <c r="BE75" s="328"/>
      <c r="BF75" s="328"/>
      <c r="BG75" s="328"/>
      <c r="BH75" s="328"/>
      <c r="BI75" s="328"/>
      <c r="BJ75" s="328"/>
      <c r="BK75" s="328"/>
      <c r="BL75" s="329"/>
      <c r="BM75" s="97"/>
    </row>
    <row r="76" spans="1:65" s="50" customFormat="1" ht="9" customHeight="1" x14ac:dyDescent="0.25">
      <c r="A76" s="49"/>
      <c r="B76" s="241" t="s">
        <v>132</v>
      </c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0">
        <f>CEILING(8185*B3,1)</f>
        <v>15552</v>
      </c>
      <c r="O76" s="240"/>
      <c r="P76" s="240"/>
      <c r="Q76" s="2"/>
      <c r="R76" s="241" t="s">
        <v>133</v>
      </c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0">
        <f>CEILING(1292*B3,1)</f>
        <v>2455</v>
      </c>
      <c r="AE76" s="240"/>
      <c r="AF76" s="240"/>
      <c r="AG76" s="2"/>
      <c r="AH76" s="241" t="s">
        <v>134</v>
      </c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0">
        <f>CEILING(1238*B3,1)</f>
        <v>2353</v>
      </c>
      <c r="AU76" s="240"/>
      <c r="AV76" s="240"/>
      <c r="AW76" s="3"/>
      <c r="AX76" s="241" t="s">
        <v>135</v>
      </c>
      <c r="AY76" s="241"/>
      <c r="AZ76" s="241"/>
      <c r="BA76" s="241"/>
      <c r="BB76" s="241"/>
      <c r="BC76" s="241"/>
      <c r="BD76" s="241"/>
      <c r="BE76" s="241"/>
      <c r="BF76" s="241"/>
      <c r="BG76" s="241"/>
      <c r="BH76" s="241"/>
      <c r="BI76" s="241"/>
      <c r="BJ76" s="240">
        <f>CEILING(5366*B3,1)</f>
        <v>10196</v>
      </c>
      <c r="BK76" s="240"/>
      <c r="BL76" s="240"/>
      <c r="BM76" s="52"/>
    </row>
    <row r="77" spans="1:65" s="50" customFormat="1" ht="2.1" customHeight="1" x14ac:dyDescent="0.25">
      <c r="A77" s="49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97"/>
    </row>
    <row r="78" spans="1:65" s="50" customFormat="1" ht="9" customHeight="1" x14ac:dyDescent="0.25">
      <c r="A78" s="49"/>
      <c r="B78" s="321" t="s">
        <v>136</v>
      </c>
      <c r="C78" s="322"/>
      <c r="D78" s="322"/>
      <c r="E78" s="322"/>
      <c r="F78" s="322"/>
      <c r="G78" s="322"/>
      <c r="H78" s="322"/>
      <c r="I78" s="322"/>
      <c r="J78" s="323"/>
      <c r="K78" s="69"/>
      <c r="L78" s="69"/>
      <c r="M78" s="69"/>
      <c r="N78" s="69"/>
      <c r="O78" s="69"/>
      <c r="P78" s="70"/>
      <c r="Q78" s="55"/>
      <c r="R78" s="321" t="s">
        <v>137</v>
      </c>
      <c r="S78" s="322"/>
      <c r="T78" s="322"/>
      <c r="U78" s="322"/>
      <c r="V78" s="322"/>
      <c r="W78" s="322"/>
      <c r="X78" s="322"/>
      <c r="Y78" s="322"/>
      <c r="Z78" s="323"/>
      <c r="AA78" s="69"/>
      <c r="AB78" s="69"/>
      <c r="AC78" s="69"/>
      <c r="AD78" s="69"/>
      <c r="AE78" s="69"/>
      <c r="AF78" s="70"/>
      <c r="AG78" s="8"/>
      <c r="AH78" s="321" t="s">
        <v>138</v>
      </c>
      <c r="AI78" s="322"/>
      <c r="AJ78" s="322"/>
      <c r="AK78" s="322"/>
      <c r="AL78" s="322"/>
      <c r="AM78" s="322"/>
      <c r="AN78" s="322"/>
      <c r="AO78" s="322"/>
      <c r="AP78" s="323"/>
      <c r="AQ78" s="69"/>
      <c r="AR78" s="69"/>
      <c r="AS78" s="69"/>
      <c r="AT78" s="69"/>
      <c r="AU78" s="69"/>
      <c r="AV78" s="70"/>
      <c r="AW78" s="55"/>
      <c r="AX78" s="321" t="s">
        <v>139</v>
      </c>
      <c r="AY78" s="322"/>
      <c r="AZ78" s="322"/>
      <c r="BA78" s="322"/>
      <c r="BB78" s="322"/>
      <c r="BC78" s="322"/>
      <c r="BD78" s="322"/>
      <c r="BE78" s="322"/>
      <c r="BF78" s="323"/>
      <c r="BG78" s="69"/>
      <c r="BH78" s="69"/>
      <c r="BI78" s="69"/>
      <c r="BJ78" s="69"/>
      <c r="BK78" s="69"/>
      <c r="BL78" s="70"/>
      <c r="BM78" s="52"/>
    </row>
    <row r="79" spans="1:65" s="50" customFormat="1" ht="9" customHeight="1" x14ac:dyDescent="0.25">
      <c r="A79" s="49"/>
      <c r="B79" s="9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10"/>
      <c r="Q79" s="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10"/>
      <c r="AG79" s="8"/>
      <c r="AH79" s="9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10"/>
      <c r="AW79" s="8"/>
      <c r="AX79" s="108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10"/>
      <c r="BM79" s="97"/>
    </row>
    <row r="80" spans="1:65" s="50" customFormat="1" ht="9" customHeight="1" x14ac:dyDescent="0.25">
      <c r="A80" s="49"/>
      <c r="B80" s="9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10"/>
      <c r="Q80" s="8"/>
      <c r="R80" s="108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10"/>
      <c r="AG80" s="8"/>
      <c r="AH80" s="9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10"/>
      <c r="AW80" s="8"/>
      <c r="AX80" s="108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10"/>
      <c r="BM80" s="97"/>
    </row>
    <row r="81" spans="1:65" s="50" customFormat="1" ht="9" customHeight="1" x14ac:dyDescent="0.25">
      <c r="A81" s="49"/>
      <c r="B81" s="9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10"/>
      <c r="Q81" s="8"/>
      <c r="R81" s="108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10"/>
      <c r="AG81" s="8"/>
      <c r="AH81" s="9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10"/>
      <c r="AW81" s="8"/>
      <c r="AX81" s="108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10"/>
      <c r="BM81" s="97"/>
    </row>
    <row r="82" spans="1:65" s="50" customFormat="1" ht="9" customHeight="1" x14ac:dyDescent="0.25">
      <c r="A82" s="49"/>
      <c r="B82" s="9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10"/>
      <c r="Q82" s="8"/>
      <c r="R82" s="108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10"/>
      <c r="AG82" s="8"/>
      <c r="AH82" s="9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10"/>
      <c r="AW82" s="8"/>
      <c r="AX82" s="108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10"/>
      <c r="BM82" s="97"/>
    </row>
    <row r="83" spans="1:65" s="50" customFormat="1" ht="9" customHeight="1" x14ac:dyDescent="0.25">
      <c r="A83" s="49"/>
      <c r="B83" s="9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10"/>
      <c r="Q83" s="8"/>
      <c r="R83" s="108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10"/>
      <c r="AG83" s="8"/>
      <c r="AH83" s="9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10"/>
      <c r="AW83" s="8"/>
      <c r="AX83" s="108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10"/>
      <c r="BM83" s="97"/>
    </row>
    <row r="84" spans="1:65" s="50" customFormat="1" ht="9" customHeight="1" x14ac:dyDescent="0.25">
      <c r="A84" s="49"/>
      <c r="B84" s="9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10"/>
      <c r="Q84" s="8"/>
      <c r="R84" s="108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10"/>
      <c r="AG84" s="8"/>
      <c r="AH84" s="9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10"/>
      <c r="AW84" s="8"/>
      <c r="AX84" s="108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10"/>
      <c r="BM84" s="97"/>
    </row>
    <row r="85" spans="1:65" s="50" customFormat="1" ht="9" customHeight="1" x14ac:dyDescent="0.25">
      <c r="A85" s="49"/>
      <c r="B85" s="9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10"/>
      <c r="Q85" s="8"/>
      <c r="R85" s="108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10"/>
      <c r="AG85" s="8"/>
      <c r="AH85" s="9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10"/>
      <c r="AW85" s="8"/>
      <c r="AX85" s="108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10"/>
      <c r="BM85" s="97"/>
    </row>
    <row r="86" spans="1:65" s="50" customFormat="1" ht="9" customHeight="1" x14ac:dyDescent="0.25">
      <c r="A86" s="49"/>
      <c r="B86" s="9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10"/>
      <c r="Q86" s="8"/>
      <c r="R86" s="108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10"/>
      <c r="AG86" s="8"/>
      <c r="AH86" s="9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10"/>
      <c r="AW86" s="8"/>
      <c r="AX86" s="108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10"/>
      <c r="BM86" s="97"/>
    </row>
    <row r="87" spans="1:65" s="50" customFormat="1" ht="9" customHeight="1" x14ac:dyDescent="0.25">
      <c r="A87" s="49"/>
      <c r="B87" s="9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10"/>
      <c r="Q87" s="8"/>
      <c r="R87" s="108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10"/>
      <c r="AG87" s="8"/>
      <c r="AH87" s="9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10"/>
      <c r="AW87" s="8"/>
      <c r="AX87" s="108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10"/>
      <c r="BM87" s="97"/>
    </row>
    <row r="88" spans="1:65" s="50" customFormat="1" ht="9" customHeight="1" x14ac:dyDescent="0.25">
      <c r="A88" s="49"/>
      <c r="B88" s="9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10"/>
      <c r="Q88" s="8"/>
      <c r="R88" s="54" t="s">
        <v>140</v>
      </c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10"/>
      <c r="AG88" s="8"/>
      <c r="AH88" s="327" t="s">
        <v>141</v>
      </c>
      <c r="AI88" s="328"/>
      <c r="AJ88" s="328"/>
      <c r="AK88" s="328"/>
      <c r="AL88" s="328"/>
      <c r="AM88" s="328"/>
      <c r="AN88" s="328"/>
      <c r="AO88" s="328"/>
      <c r="AP88" s="328"/>
      <c r="AQ88" s="328"/>
      <c r="AR88" s="328"/>
      <c r="AS88" s="328"/>
      <c r="AT88" s="328"/>
      <c r="AU88" s="328"/>
      <c r="AV88" s="329"/>
      <c r="AW88" s="8"/>
      <c r="AX88" s="108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10"/>
      <c r="BM88" s="97"/>
    </row>
    <row r="89" spans="1:65" s="50" customFormat="1" ht="9" customHeight="1" x14ac:dyDescent="0.25">
      <c r="A89" s="49"/>
      <c r="B89" s="327" t="s">
        <v>142</v>
      </c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9"/>
      <c r="Q89" s="111"/>
      <c r="R89" s="241" t="s">
        <v>143</v>
      </c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0">
        <f>CEILING(2115*B3,1)</f>
        <v>4019</v>
      </c>
      <c r="AE89" s="240"/>
      <c r="AF89" s="240"/>
      <c r="AG89" s="113"/>
      <c r="AH89" s="327" t="s">
        <v>144</v>
      </c>
      <c r="AI89" s="328"/>
      <c r="AJ89" s="328"/>
      <c r="AK89" s="328"/>
      <c r="AL89" s="328"/>
      <c r="AM89" s="328"/>
      <c r="AN89" s="328"/>
      <c r="AO89" s="328"/>
      <c r="AP89" s="328"/>
      <c r="AQ89" s="328"/>
      <c r="AR89" s="328"/>
      <c r="AS89" s="328"/>
      <c r="AT89" s="328"/>
      <c r="AU89" s="328"/>
      <c r="AV89" s="329"/>
      <c r="AW89" s="8"/>
      <c r="AX89" s="327"/>
      <c r="AY89" s="328"/>
      <c r="AZ89" s="328"/>
      <c r="BA89" s="328"/>
      <c r="BB89" s="328"/>
      <c r="BC89" s="328"/>
      <c r="BD89" s="328"/>
      <c r="BE89" s="328"/>
      <c r="BF89" s="328"/>
      <c r="BG89" s="328"/>
      <c r="BH89" s="328"/>
      <c r="BI89" s="328"/>
      <c r="BJ89" s="328"/>
      <c r="BK89" s="328"/>
      <c r="BL89" s="329"/>
      <c r="BM89" s="97"/>
    </row>
    <row r="90" spans="1:65" s="50" customFormat="1" ht="9" customHeight="1" x14ac:dyDescent="0.25">
      <c r="A90" s="49"/>
      <c r="B90" s="241" t="s">
        <v>145</v>
      </c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0">
        <f>CEILING(1901*B3,1)</f>
        <v>3612</v>
      </c>
      <c r="O90" s="240"/>
      <c r="P90" s="240"/>
      <c r="Q90" s="2"/>
      <c r="R90" s="241" t="s">
        <v>146</v>
      </c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0">
        <f>CEILING(2523*B3,1)</f>
        <v>4794</v>
      </c>
      <c r="AE90" s="240"/>
      <c r="AF90" s="240"/>
      <c r="AG90" s="3"/>
      <c r="AH90" s="241" t="s">
        <v>145</v>
      </c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0">
        <f>CEILING(2604*B3,1)</f>
        <v>4948</v>
      </c>
      <c r="AU90" s="240"/>
      <c r="AV90" s="240"/>
      <c r="AW90" s="3"/>
      <c r="AX90" s="241" t="s">
        <v>147</v>
      </c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0">
        <f>CEILING(2685*B3,1)</f>
        <v>5102</v>
      </c>
      <c r="BK90" s="240"/>
      <c r="BL90" s="240"/>
      <c r="BM90" s="52"/>
    </row>
    <row r="91" spans="1:65" ht="2.1" customHeight="1" x14ac:dyDescent="0.25">
      <c r="A91" s="8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86"/>
    </row>
    <row r="92" spans="1:65" ht="9" customHeight="1" x14ac:dyDescent="0.25"/>
    <row r="93" spans="1:65" ht="9" customHeight="1" x14ac:dyDescent="0.25"/>
    <row r="94" spans="1:65" ht="9" customHeight="1" x14ac:dyDescent="0.25"/>
    <row r="95" spans="1:65" ht="9" customHeight="1" x14ac:dyDescent="0.25"/>
    <row r="96" spans="1:65" ht="9" customHeight="1" x14ac:dyDescent="0.25"/>
    <row r="97" ht="9" customHeight="1" x14ac:dyDescent="0.25"/>
    <row r="98" ht="9" customHeight="1" x14ac:dyDescent="0.25"/>
    <row r="99" ht="9" customHeight="1" x14ac:dyDescent="0.25"/>
    <row r="100" ht="9" customHeight="1" x14ac:dyDescent="0.25"/>
    <row r="101" ht="9" customHeight="1" x14ac:dyDescent="0.25"/>
    <row r="102" ht="9" customHeight="1" x14ac:dyDescent="0.25"/>
    <row r="103" ht="9" customHeight="1" x14ac:dyDescent="0.25"/>
    <row r="104" ht="9" customHeight="1" x14ac:dyDescent="0.25"/>
    <row r="105" ht="9" customHeight="1" x14ac:dyDescent="0.25"/>
    <row r="106" ht="9" customHeight="1" x14ac:dyDescent="0.25"/>
    <row r="107" ht="9" customHeight="1" x14ac:dyDescent="0.25"/>
    <row r="108" ht="9" customHeight="1" x14ac:dyDescent="0.25"/>
    <row r="109" ht="9" customHeight="1" x14ac:dyDescent="0.25"/>
    <row r="110" ht="9" customHeight="1" x14ac:dyDescent="0.25"/>
    <row r="111" ht="9" customHeight="1" x14ac:dyDescent="0.25"/>
    <row r="112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  <row r="269" ht="9" customHeight="1" x14ac:dyDescent="0.25"/>
    <row r="270" ht="9" customHeight="1" x14ac:dyDescent="0.25"/>
    <row r="271" ht="9" customHeight="1" x14ac:dyDescent="0.25"/>
    <row r="272" ht="9" customHeight="1" x14ac:dyDescent="0.25"/>
    <row r="273" ht="9" customHeight="1" x14ac:dyDescent="0.25"/>
    <row r="274" ht="9" customHeight="1" x14ac:dyDescent="0.25"/>
    <row r="275" ht="9" customHeight="1" x14ac:dyDescent="0.25"/>
    <row r="276" ht="9" customHeight="1" x14ac:dyDescent="0.25"/>
    <row r="277" ht="9" customHeight="1" x14ac:dyDescent="0.25"/>
    <row r="278" ht="9" customHeight="1" x14ac:dyDescent="0.25"/>
    <row r="279" ht="9" customHeight="1" x14ac:dyDescent="0.25"/>
    <row r="280" ht="9" customHeight="1" x14ac:dyDescent="0.25"/>
    <row r="281" ht="9" customHeight="1" x14ac:dyDescent="0.25"/>
    <row r="282" ht="9" customHeight="1" x14ac:dyDescent="0.25"/>
    <row r="283" ht="9" customHeight="1" x14ac:dyDescent="0.25"/>
    <row r="284" ht="9" customHeight="1" x14ac:dyDescent="0.25"/>
    <row r="285" ht="9" customHeight="1" x14ac:dyDescent="0.25"/>
    <row r="286" ht="9" customHeight="1" x14ac:dyDescent="0.25"/>
    <row r="287" ht="9" customHeight="1" x14ac:dyDescent="0.25"/>
  </sheetData>
  <mergeCells count="119">
    <mergeCell ref="B7:BL7"/>
    <mergeCell ref="B8:E8"/>
    <mergeCell ref="F8:P8"/>
    <mergeCell ref="R8:U8"/>
    <mergeCell ref="AH8:AK8"/>
    <mergeCell ref="AX8:BA8"/>
    <mergeCell ref="B3:K3"/>
    <mergeCell ref="L3:BL3"/>
    <mergeCell ref="R18:AF18"/>
    <mergeCell ref="B19:P19"/>
    <mergeCell ref="R19:AF19"/>
    <mergeCell ref="AH19:AV19"/>
    <mergeCell ref="AX19:BL19"/>
    <mergeCell ref="B20:M20"/>
    <mergeCell ref="N20:P20"/>
    <mergeCell ref="R20:AC20"/>
    <mergeCell ref="AD20:AF20"/>
    <mergeCell ref="AH20:AS20"/>
    <mergeCell ref="R23:AF23"/>
    <mergeCell ref="AH32:AV32"/>
    <mergeCell ref="B33:P33"/>
    <mergeCell ref="R33:AF33"/>
    <mergeCell ref="AH33:AV33"/>
    <mergeCell ref="AX33:BL33"/>
    <mergeCell ref="AT20:AV20"/>
    <mergeCell ref="AX20:BI20"/>
    <mergeCell ref="BJ20:BL20"/>
    <mergeCell ref="B22:E22"/>
    <mergeCell ref="R22:U22"/>
    <mergeCell ref="AH22:AK22"/>
    <mergeCell ref="AL22:AV22"/>
    <mergeCell ref="AX22:BF22"/>
    <mergeCell ref="R38:Y38"/>
    <mergeCell ref="Z39:AF39"/>
    <mergeCell ref="B47:P47"/>
    <mergeCell ref="R47:AF47"/>
    <mergeCell ref="AH47:AS47"/>
    <mergeCell ref="AT47:AV47"/>
    <mergeCell ref="AX34:BI34"/>
    <mergeCell ref="BJ34:BL34"/>
    <mergeCell ref="B36:J36"/>
    <mergeCell ref="R36:Z36"/>
    <mergeCell ref="AH36:AP36"/>
    <mergeCell ref="AX36:BF36"/>
    <mergeCell ref="B34:M34"/>
    <mergeCell ref="N34:P34"/>
    <mergeCell ref="R34:AC34"/>
    <mergeCell ref="AD34:AF34"/>
    <mergeCell ref="AH34:AS34"/>
    <mergeCell ref="AT34:AV34"/>
    <mergeCell ref="B50:E50"/>
    <mergeCell ref="R50:Z50"/>
    <mergeCell ref="AH50:AP50"/>
    <mergeCell ref="AX50:BF50"/>
    <mergeCell ref="B60:P60"/>
    <mergeCell ref="AH60:AV60"/>
    <mergeCell ref="AX60:BL60"/>
    <mergeCell ref="AX47:BL47"/>
    <mergeCell ref="B48:M48"/>
    <mergeCell ref="N48:P48"/>
    <mergeCell ref="R48:AC48"/>
    <mergeCell ref="AD48:AF48"/>
    <mergeCell ref="AH48:AS48"/>
    <mergeCell ref="AT48:AV48"/>
    <mergeCell ref="AX48:BI48"/>
    <mergeCell ref="BJ48:BL48"/>
    <mergeCell ref="AT62:AV62"/>
    <mergeCell ref="AX62:BI62"/>
    <mergeCell ref="BJ62:BL62"/>
    <mergeCell ref="B64:J64"/>
    <mergeCell ref="R64:Z64"/>
    <mergeCell ref="AH64:AP64"/>
    <mergeCell ref="AX64:BF64"/>
    <mergeCell ref="B61:P61"/>
    <mergeCell ref="R61:AC61"/>
    <mergeCell ref="AD61:AF61"/>
    <mergeCell ref="AH61:AV61"/>
    <mergeCell ref="AX61:BL61"/>
    <mergeCell ref="B62:M62"/>
    <mergeCell ref="N62:P62"/>
    <mergeCell ref="R62:AC62"/>
    <mergeCell ref="AD62:AF62"/>
    <mergeCell ref="AH62:AS62"/>
    <mergeCell ref="N76:P76"/>
    <mergeCell ref="R76:AC76"/>
    <mergeCell ref="AD76:AF76"/>
    <mergeCell ref="AH76:AS76"/>
    <mergeCell ref="AT76:AV76"/>
    <mergeCell ref="AX74:BL74"/>
    <mergeCell ref="B75:P75"/>
    <mergeCell ref="R75:AC75"/>
    <mergeCell ref="AD75:AF75"/>
    <mergeCell ref="AH75:AS75"/>
    <mergeCell ref="AT75:AV75"/>
    <mergeCell ref="AX75:BL75"/>
    <mergeCell ref="AX90:BI90"/>
    <mergeCell ref="BJ90:BL90"/>
    <mergeCell ref="A1:BC1"/>
    <mergeCell ref="A2:BL2"/>
    <mergeCell ref="BE1:BL1"/>
    <mergeCell ref="B90:M90"/>
    <mergeCell ref="N90:P90"/>
    <mergeCell ref="R90:AC90"/>
    <mergeCell ref="AD90:AF90"/>
    <mergeCell ref="AH90:AS90"/>
    <mergeCell ref="AT90:AV90"/>
    <mergeCell ref="AH88:AV88"/>
    <mergeCell ref="B89:P89"/>
    <mergeCell ref="R89:AC89"/>
    <mergeCell ref="AD89:AF89"/>
    <mergeCell ref="AH89:AV89"/>
    <mergeCell ref="AX89:BL89"/>
    <mergeCell ref="AX76:BI76"/>
    <mergeCell ref="BJ76:BL76"/>
    <mergeCell ref="B78:J78"/>
    <mergeCell ref="R78:Z78"/>
    <mergeCell ref="AH78:AP78"/>
    <mergeCell ref="AX78:BF78"/>
    <mergeCell ref="B76:M76"/>
  </mergeCells>
  <hyperlinks>
    <hyperlink ref="BE1:BL1" location="ОГЛАВЛЕНИЕ!A1" display="ОГЛАВЛЕНИЕ!A1" xr:uid="{99A8707E-4D08-4911-A12B-CE8CC4C4D2C7}"/>
  </hyperlinks>
  <printOptions horizontalCentered="1"/>
  <pageMargins left="0.23622047244094491" right="0.23622047244094491" top="0.23622047244094491" bottom="0.23622047244094491" header="0.23622047244094491" footer="0.23622047244094491"/>
  <pageSetup paperSize="9" scale="8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97D80-4783-4781-8FB0-E4E37A808555}">
  <sheetPr codeName="Лист2">
    <tabColor rgb="FFFFC000"/>
  </sheetPr>
  <dimension ref="A1:I75"/>
  <sheetViews>
    <sheetView zoomScaleNormal="100" workbookViewId="0">
      <pane ySplit="2" topLeftCell="A72" activePane="bottomLeft" state="frozen"/>
      <selection activeCell="B4" sqref="B4"/>
      <selection pane="bottomLeft" activeCell="G1" sqref="A1:I75"/>
    </sheetView>
  </sheetViews>
  <sheetFormatPr defaultColWidth="9.140625" defaultRowHeight="15" x14ac:dyDescent="0.25"/>
  <cols>
    <col min="1" max="1" width="19.7109375" style="174" customWidth="1"/>
    <col min="2" max="2" width="32.28515625" style="174" customWidth="1"/>
    <col min="3" max="3" width="38.140625" style="174" customWidth="1"/>
    <col min="4" max="4" width="10.7109375" style="186" hidden="1" customWidth="1"/>
    <col min="5" max="5" width="12.5703125" style="174" hidden="1" customWidth="1"/>
    <col min="6" max="6" width="15" style="174" customWidth="1"/>
    <col min="7" max="7" width="5.28515625" style="174" customWidth="1"/>
    <col min="8" max="8" width="5.140625" style="174" customWidth="1"/>
    <col min="9" max="9" width="14" style="174" customWidth="1"/>
    <col min="10" max="20" width="13.7109375" style="174" customWidth="1"/>
    <col min="21" max="16384" width="9.140625" style="174"/>
  </cols>
  <sheetData>
    <row r="1" spans="1:9" ht="20.100000000000001" customHeight="1" x14ac:dyDescent="0.25">
      <c r="A1" s="375" t="s">
        <v>780</v>
      </c>
      <c r="B1" s="376"/>
      <c r="C1" s="376"/>
      <c r="D1" s="376"/>
      <c r="E1" s="376"/>
      <c r="F1" s="377"/>
      <c r="G1" s="378" t="s">
        <v>783</v>
      </c>
      <c r="H1" s="378"/>
      <c r="I1" s="378"/>
    </row>
    <row r="2" spans="1:9" ht="15" customHeight="1" x14ac:dyDescent="0.25">
      <c r="A2" s="188" t="s">
        <v>391</v>
      </c>
      <c r="B2" s="188" t="s">
        <v>392</v>
      </c>
      <c r="C2" s="188" t="s">
        <v>393</v>
      </c>
      <c r="D2" s="206"/>
      <c r="E2" s="176"/>
      <c r="F2" s="188" t="s">
        <v>781</v>
      </c>
    </row>
    <row r="3" spans="1:9" ht="141" customHeight="1" x14ac:dyDescent="0.25">
      <c r="A3" s="175" t="s">
        <v>395</v>
      </c>
      <c r="B3" s="176"/>
      <c r="C3" s="175" t="s">
        <v>396</v>
      </c>
      <c r="D3" s="177">
        <v>950</v>
      </c>
      <c r="E3" s="176">
        <v>1.8</v>
      </c>
      <c r="F3" s="207">
        <f>D3*E3</f>
        <v>1710</v>
      </c>
    </row>
    <row r="4" spans="1:9" ht="139.5" customHeight="1" x14ac:dyDescent="0.25">
      <c r="A4" s="178" t="s">
        <v>397</v>
      </c>
      <c r="B4" s="176"/>
      <c r="C4" s="175" t="s">
        <v>398</v>
      </c>
      <c r="D4" s="177">
        <v>1000</v>
      </c>
      <c r="E4" s="176">
        <v>1.8</v>
      </c>
      <c r="F4" s="207">
        <f t="shared" ref="F4:F67" si="0">D4*E4</f>
        <v>1800</v>
      </c>
    </row>
    <row r="5" spans="1:9" ht="139.5" customHeight="1" x14ac:dyDescent="0.25">
      <c r="A5" s="175" t="s">
        <v>399</v>
      </c>
      <c r="B5" s="176"/>
      <c r="C5" s="175" t="s">
        <v>400</v>
      </c>
      <c r="D5" s="177">
        <v>1050</v>
      </c>
      <c r="E5" s="176">
        <v>1.8</v>
      </c>
      <c r="F5" s="207">
        <f t="shared" si="0"/>
        <v>1890</v>
      </c>
    </row>
    <row r="6" spans="1:9" ht="139.5" customHeight="1" x14ac:dyDescent="0.25">
      <c r="A6" s="175" t="s">
        <v>401</v>
      </c>
      <c r="B6" s="176"/>
      <c r="C6" s="175" t="s">
        <v>402</v>
      </c>
      <c r="D6" s="177">
        <v>1050</v>
      </c>
      <c r="E6" s="176">
        <v>1.8</v>
      </c>
      <c r="F6" s="207">
        <f t="shared" si="0"/>
        <v>1890</v>
      </c>
    </row>
    <row r="7" spans="1:9" ht="139.5" customHeight="1" x14ac:dyDescent="0.25">
      <c r="A7" s="175" t="s">
        <v>403</v>
      </c>
      <c r="B7" s="176"/>
      <c r="C7" s="175" t="s">
        <v>404</v>
      </c>
      <c r="D7" s="177">
        <v>1050</v>
      </c>
      <c r="E7" s="176">
        <v>1.8</v>
      </c>
      <c r="F7" s="207">
        <f t="shared" si="0"/>
        <v>1890</v>
      </c>
    </row>
    <row r="8" spans="1:9" ht="139.5" customHeight="1" x14ac:dyDescent="0.25">
      <c r="A8" s="175" t="s">
        <v>405</v>
      </c>
      <c r="B8" s="176"/>
      <c r="C8" s="175" t="s">
        <v>406</v>
      </c>
      <c r="D8" s="177">
        <v>1050</v>
      </c>
      <c r="E8" s="176">
        <v>1.8</v>
      </c>
      <c r="F8" s="207">
        <f t="shared" si="0"/>
        <v>1890</v>
      </c>
    </row>
    <row r="9" spans="1:9" ht="139.5" customHeight="1" x14ac:dyDescent="0.25">
      <c r="A9" s="175" t="s">
        <v>407</v>
      </c>
      <c r="B9" s="176"/>
      <c r="C9" s="175" t="s">
        <v>408</v>
      </c>
      <c r="D9" s="177">
        <v>1050</v>
      </c>
      <c r="E9" s="176">
        <v>1.8</v>
      </c>
      <c r="F9" s="207">
        <f t="shared" si="0"/>
        <v>1890</v>
      </c>
    </row>
    <row r="10" spans="1:9" ht="139.5" customHeight="1" x14ac:dyDescent="0.25">
      <c r="A10" s="175" t="s">
        <v>409</v>
      </c>
      <c r="B10" s="176"/>
      <c r="C10" s="175" t="s">
        <v>410</v>
      </c>
      <c r="D10" s="177">
        <v>1050</v>
      </c>
      <c r="E10" s="176">
        <v>1.8</v>
      </c>
      <c r="F10" s="207">
        <f t="shared" si="0"/>
        <v>1890</v>
      </c>
    </row>
    <row r="11" spans="1:9" ht="139.5" customHeight="1" x14ac:dyDescent="0.25">
      <c r="A11" s="179" t="s">
        <v>411</v>
      </c>
      <c r="B11" s="199"/>
      <c r="C11" s="178" t="s">
        <v>412</v>
      </c>
      <c r="D11" s="181">
        <v>1100</v>
      </c>
      <c r="E11" s="176">
        <v>1.8</v>
      </c>
      <c r="F11" s="207">
        <f t="shared" si="0"/>
        <v>1980</v>
      </c>
    </row>
    <row r="12" spans="1:9" ht="139.5" customHeight="1" x14ac:dyDescent="0.25">
      <c r="A12" s="175" t="s">
        <v>413</v>
      </c>
      <c r="B12" s="176"/>
      <c r="C12" s="175" t="s">
        <v>414</v>
      </c>
      <c r="D12" s="181">
        <v>1150</v>
      </c>
      <c r="E12" s="176">
        <v>1.8</v>
      </c>
      <c r="F12" s="207">
        <f t="shared" si="0"/>
        <v>2070</v>
      </c>
    </row>
    <row r="13" spans="1:9" ht="139.5" customHeight="1" x14ac:dyDescent="0.25">
      <c r="A13" s="176" t="s">
        <v>415</v>
      </c>
      <c r="B13" s="176"/>
      <c r="C13" s="175" t="s">
        <v>416</v>
      </c>
      <c r="D13" s="181">
        <v>1150</v>
      </c>
      <c r="E13" s="176">
        <v>1.8</v>
      </c>
      <c r="F13" s="207">
        <f t="shared" si="0"/>
        <v>2070</v>
      </c>
    </row>
    <row r="14" spans="1:9" ht="150.75" customHeight="1" x14ac:dyDescent="0.25">
      <c r="A14" s="175" t="s">
        <v>417</v>
      </c>
      <c r="B14" s="176"/>
      <c r="C14" s="175" t="s">
        <v>418</v>
      </c>
      <c r="D14" s="181">
        <v>1150</v>
      </c>
      <c r="E14" s="176">
        <v>1.8</v>
      </c>
      <c r="F14" s="207">
        <f t="shared" si="0"/>
        <v>2070</v>
      </c>
    </row>
    <row r="15" spans="1:9" ht="149.25" customHeight="1" x14ac:dyDescent="0.25">
      <c r="A15" s="175" t="s">
        <v>419</v>
      </c>
      <c r="B15" s="176"/>
      <c r="C15" s="175" t="s">
        <v>420</v>
      </c>
      <c r="D15" s="181">
        <v>1150</v>
      </c>
      <c r="E15" s="176">
        <v>1.8</v>
      </c>
      <c r="F15" s="207">
        <f t="shared" si="0"/>
        <v>2070</v>
      </c>
    </row>
    <row r="16" spans="1:9" ht="150" customHeight="1" x14ac:dyDescent="0.25">
      <c r="A16" s="175" t="s">
        <v>421</v>
      </c>
      <c r="B16" s="176"/>
      <c r="C16" s="175" t="s">
        <v>422</v>
      </c>
      <c r="D16" s="181">
        <v>1150</v>
      </c>
      <c r="E16" s="176">
        <v>1.8</v>
      </c>
      <c r="F16" s="207">
        <f t="shared" si="0"/>
        <v>2070</v>
      </c>
    </row>
    <row r="17" spans="1:6" ht="151.5" customHeight="1" x14ac:dyDescent="0.25">
      <c r="A17" s="175" t="s">
        <v>423</v>
      </c>
      <c r="B17" s="176"/>
      <c r="C17" s="175" t="s">
        <v>424</v>
      </c>
      <c r="D17" s="181">
        <v>1150</v>
      </c>
      <c r="E17" s="176">
        <v>1.8</v>
      </c>
      <c r="F17" s="207">
        <f t="shared" si="0"/>
        <v>2070</v>
      </c>
    </row>
    <row r="18" spans="1:6" ht="139.5" customHeight="1" x14ac:dyDescent="0.25">
      <c r="A18" s="179" t="s">
        <v>425</v>
      </c>
      <c r="B18" s="176"/>
      <c r="C18" s="178" t="s">
        <v>426</v>
      </c>
      <c r="D18" s="181">
        <v>1300</v>
      </c>
      <c r="E18" s="176">
        <v>1.8</v>
      </c>
      <c r="F18" s="207">
        <f t="shared" si="0"/>
        <v>2340</v>
      </c>
    </row>
    <row r="19" spans="1:6" ht="139.5" customHeight="1" x14ac:dyDescent="0.25">
      <c r="A19" s="175" t="s">
        <v>427</v>
      </c>
      <c r="B19" s="176"/>
      <c r="C19" s="175" t="s">
        <v>428</v>
      </c>
      <c r="D19" s="181">
        <v>1350</v>
      </c>
      <c r="E19" s="176">
        <v>1.8</v>
      </c>
      <c r="F19" s="207">
        <f t="shared" si="0"/>
        <v>2430</v>
      </c>
    </row>
    <row r="20" spans="1:6" ht="139.5" customHeight="1" x14ac:dyDescent="0.25">
      <c r="A20" s="175" t="s">
        <v>429</v>
      </c>
      <c r="B20" s="176"/>
      <c r="C20" s="175" t="s">
        <v>430</v>
      </c>
      <c r="D20" s="181">
        <v>1350</v>
      </c>
      <c r="E20" s="176">
        <v>1.8</v>
      </c>
      <c r="F20" s="207">
        <f t="shared" si="0"/>
        <v>2430</v>
      </c>
    </row>
    <row r="21" spans="1:6" ht="139.5" customHeight="1" x14ac:dyDescent="0.25">
      <c r="A21" s="175" t="s">
        <v>431</v>
      </c>
      <c r="B21" s="176"/>
      <c r="C21" s="175" t="s">
        <v>432</v>
      </c>
      <c r="D21" s="181">
        <v>1350</v>
      </c>
      <c r="E21" s="176">
        <v>1.8</v>
      </c>
      <c r="F21" s="207">
        <f t="shared" si="0"/>
        <v>2430</v>
      </c>
    </row>
    <row r="22" spans="1:6" ht="144.75" customHeight="1" x14ac:dyDescent="0.25">
      <c r="A22" s="175" t="s">
        <v>433</v>
      </c>
      <c r="B22" s="176"/>
      <c r="C22" s="175" t="s">
        <v>434</v>
      </c>
      <c r="D22" s="181">
        <v>1350</v>
      </c>
      <c r="E22" s="176">
        <v>1.8</v>
      </c>
      <c r="F22" s="207">
        <f t="shared" si="0"/>
        <v>2430</v>
      </c>
    </row>
    <row r="23" spans="1:6" ht="165" customHeight="1" x14ac:dyDescent="0.25">
      <c r="A23" s="175" t="s">
        <v>435</v>
      </c>
      <c r="B23" s="176"/>
      <c r="C23" s="175" t="s">
        <v>436</v>
      </c>
      <c r="D23" s="181">
        <v>1350</v>
      </c>
      <c r="E23" s="176">
        <v>1.8</v>
      </c>
      <c r="F23" s="207">
        <f t="shared" si="0"/>
        <v>2430</v>
      </c>
    </row>
    <row r="24" spans="1:6" ht="139.5" customHeight="1" x14ac:dyDescent="0.25">
      <c r="A24" s="175" t="s">
        <v>437</v>
      </c>
      <c r="B24" s="176"/>
      <c r="C24" s="175" t="s">
        <v>438</v>
      </c>
      <c r="D24" s="181">
        <v>1350</v>
      </c>
      <c r="E24" s="176">
        <v>1.8</v>
      </c>
      <c r="F24" s="207">
        <f t="shared" si="0"/>
        <v>2430</v>
      </c>
    </row>
    <row r="25" spans="1:6" ht="139.5" customHeight="1" x14ac:dyDescent="0.25">
      <c r="A25" s="176">
        <v>32921</v>
      </c>
      <c r="B25" s="176"/>
      <c r="C25" s="175" t="s">
        <v>439</v>
      </c>
      <c r="D25" s="182">
        <v>1500</v>
      </c>
      <c r="E25" s="176">
        <v>1.8</v>
      </c>
      <c r="F25" s="207">
        <f t="shared" si="0"/>
        <v>2700</v>
      </c>
    </row>
    <row r="26" spans="1:6" ht="150" x14ac:dyDescent="0.25">
      <c r="A26" s="176">
        <v>32959</v>
      </c>
      <c r="B26" s="176"/>
      <c r="C26" s="175" t="s">
        <v>440</v>
      </c>
      <c r="D26" s="182">
        <v>1500</v>
      </c>
      <c r="E26" s="176">
        <v>1.8</v>
      </c>
      <c r="F26" s="207">
        <f t="shared" si="0"/>
        <v>2700</v>
      </c>
    </row>
    <row r="27" spans="1:6" ht="139.5" customHeight="1" x14ac:dyDescent="0.25">
      <c r="A27" s="176">
        <v>40786</v>
      </c>
      <c r="B27" s="176"/>
      <c r="C27" s="175" t="s">
        <v>441</v>
      </c>
      <c r="D27" s="182">
        <v>1500</v>
      </c>
      <c r="E27" s="176">
        <v>1.8</v>
      </c>
      <c r="F27" s="207">
        <f t="shared" si="0"/>
        <v>2700</v>
      </c>
    </row>
    <row r="28" spans="1:6" ht="150" customHeight="1" x14ac:dyDescent="0.25">
      <c r="A28" s="176">
        <v>41143</v>
      </c>
      <c r="B28" s="176"/>
      <c r="C28" s="175" t="s">
        <v>442</v>
      </c>
      <c r="D28" s="181">
        <v>1250</v>
      </c>
      <c r="E28" s="176">
        <v>1.8</v>
      </c>
      <c r="F28" s="207">
        <f t="shared" si="0"/>
        <v>2250</v>
      </c>
    </row>
    <row r="29" spans="1:6" ht="150" customHeight="1" x14ac:dyDescent="0.25">
      <c r="A29" s="176">
        <v>41144</v>
      </c>
      <c r="B29" s="176"/>
      <c r="C29" s="175" t="s">
        <v>443</v>
      </c>
      <c r="D29" s="181">
        <v>1250</v>
      </c>
      <c r="E29" s="176">
        <v>1.8</v>
      </c>
      <c r="F29" s="207">
        <f t="shared" si="0"/>
        <v>2250</v>
      </c>
    </row>
    <row r="30" spans="1:6" ht="150" customHeight="1" x14ac:dyDescent="0.25">
      <c r="A30" s="176">
        <v>41145</v>
      </c>
      <c r="B30" s="176"/>
      <c r="C30" s="175" t="s">
        <v>444</v>
      </c>
      <c r="D30" s="181">
        <v>1250</v>
      </c>
      <c r="E30" s="176">
        <v>1.8</v>
      </c>
      <c r="F30" s="207">
        <f t="shared" si="0"/>
        <v>2250</v>
      </c>
    </row>
    <row r="31" spans="1:6" ht="150" customHeight="1" x14ac:dyDescent="0.25">
      <c r="A31" s="176">
        <v>41146</v>
      </c>
      <c r="B31" s="176"/>
      <c r="C31" s="175" t="s">
        <v>445</v>
      </c>
      <c r="D31" s="181">
        <v>1250</v>
      </c>
      <c r="E31" s="176">
        <v>1.8</v>
      </c>
      <c r="F31" s="207">
        <f t="shared" si="0"/>
        <v>2250</v>
      </c>
    </row>
    <row r="32" spans="1:6" ht="150" customHeight="1" x14ac:dyDescent="0.25">
      <c r="A32" s="175" t="s">
        <v>446</v>
      </c>
      <c r="B32" s="176"/>
      <c r="C32" s="175" t="s">
        <v>447</v>
      </c>
      <c r="D32" s="181">
        <v>1250</v>
      </c>
      <c r="E32" s="176">
        <v>1.8</v>
      </c>
      <c r="F32" s="207">
        <f t="shared" si="0"/>
        <v>2250</v>
      </c>
    </row>
    <row r="33" spans="1:6" ht="150" customHeight="1" x14ac:dyDescent="0.25">
      <c r="A33" s="176">
        <v>41148</v>
      </c>
      <c r="B33" s="176"/>
      <c r="C33" s="175" t="s">
        <v>448</v>
      </c>
      <c r="D33" s="181">
        <v>1300</v>
      </c>
      <c r="E33" s="176">
        <v>1.8</v>
      </c>
      <c r="F33" s="207">
        <f t="shared" si="0"/>
        <v>2340</v>
      </c>
    </row>
    <row r="34" spans="1:6" ht="150" customHeight="1" x14ac:dyDescent="0.25">
      <c r="A34" s="176">
        <v>41149</v>
      </c>
      <c r="B34" s="176"/>
      <c r="C34" s="175" t="s">
        <v>449</v>
      </c>
      <c r="D34" s="181">
        <v>1300</v>
      </c>
      <c r="E34" s="176">
        <v>1.8</v>
      </c>
      <c r="F34" s="207">
        <f t="shared" si="0"/>
        <v>2340</v>
      </c>
    </row>
    <row r="35" spans="1:6" ht="150" customHeight="1" x14ac:dyDescent="0.25">
      <c r="A35" s="176">
        <v>41150</v>
      </c>
      <c r="B35" s="176"/>
      <c r="C35" s="175" t="s">
        <v>450</v>
      </c>
      <c r="D35" s="181">
        <v>1300</v>
      </c>
      <c r="E35" s="176">
        <v>1.8</v>
      </c>
      <c r="F35" s="207">
        <f t="shared" si="0"/>
        <v>2340</v>
      </c>
    </row>
    <row r="36" spans="1:6" ht="150" customHeight="1" x14ac:dyDescent="0.25">
      <c r="A36" s="176">
        <v>41151</v>
      </c>
      <c r="B36" s="176"/>
      <c r="C36" s="175" t="s">
        <v>451</v>
      </c>
      <c r="D36" s="181">
        <v>1300</v>
      </c>
      <c r="E36" s="176">
        <v>1.8</v>
      </c>
      <c r="F36" s="207">
        <f t="shared" si="0"/>
        <v>2340</v>
      </c>
    </row>
    <row r="37" spans="1:6" ht="150" customHeight="1" x14ac:dyDescent="0.25">
      <c r="A37" s="176">
        <v>41152</v>
      </c>
      <c r="B37" s="176"/>
      <c r="C37" s="175" t="s">
        <v>452</v>
      </c>
      <c r="D37" s="181">
        <v>1300</v>
      </c>
      <c r="E37" s="176">
        <v>1.8</v>
      </c>
      <c r="F37" s="207">
        <f t="shared" si="0"/>
        <v>2340</v>
      </c>
    </row>
    <row r="38" spans="1:6" ht="150" customHeight="1" x14ac:dyDescent="0.25">
      <c r="A38" s="176">
        <v>41153</v>
      </c>
      <c r="B38" s="176"/>
      <c r="C38" s="175" t="s">
        <v>453</v>
      </c>
      <c r="D38" s="181">
        <v>1300</v>
      </c>
      <c r="E38" s="176">
        <v>1.8</v>
      </c>
      <c r="F38" s="207">
        <f t="shared" si="0"/>
        <v>2340</v>
      </c>
    </row>
    <row r="39" spans="1:6" ht="150" customHeight="1" x14ac:dyDescent="0.25">
      <c r="A39" s="176">
        <v>47327</v>
      </c>
      <c r="B39" s="183"/>
      <c r="C39" s="175" t="s">
        <v>454</v>
      </c>
      <c r="D39" s="184">
        <v>1250</v>
      </c>
      <c r="E39" s="176">
        <v>1.8</v>
      </c>
      <c r="F39" s="207">
        <f t="shared" si="0"/>
        <v>2250</v>
      </c>
    </row>
    <row r="40" spans="1:6" ht="150" customHeight="1" x14ac:dyDescent="0.25">
      <c r="A40" s="176">
        <v>47330</v>
      </c>
      <c r="B40" s="183"/>
      <c r="C40" s="175" t="s">
        <v>455</v>
      </c>
      <c r="D40" s="184">
        <v>1250</v>
      </c>
      <c r="E40" s="176">
        <v>1.8</v>
      </c>
      <c r="F40" s="207">
        <f t="shared" si="0"/>
        <v>2250</v>
      </c>
    </row>
    <row r="41" spans="1:6" ht="150" customHeight="1" x14ac:dyDescent="0.25">
      <c r="A41" s="176">
        <v>47333</v>
      </c>
      <c r="B41" s="183"/>
      <c r="C41" s="175" t="s">
        <v>456</v>
      </c>
      <c r="D41" s="184">
        <v>1250</v>
      </c>
      <c r="E41" s="176">
        <v>1.8</v>
      </c>
      <c r="F41" s="207">
        <f t="shared" si="0"/>
        <v>2250</v>
      </c>
    </row>
    <row r="42" spans="1:6" ht="150" customHeight="1" x14ac:dyDescent="0.25">
      <c r="A42" s="176">
        <v>47338</v>
      </c>
      <c r="B42" s="183"/>
      <c r="C42" s="175" t="s">
        <v>457</v>
      </c>
      <c r="D42" s="184">
        <v>1250</v>
      </c>
      <c r="E42" s="176">
        <v>1.8</v>
      </c>
      <c r="F42" s="207">
        <f t="shared" si="0"/>
        <v>2250</v>
      </c>
    </row>
    <row r="43" spans="1:6" ht="150" customHeight="1" x14ac:dyDescent="0.25">
      <c r="A43" s="176">
        <v>47339</v>
      </c>
      <c r="B43" s="183"/>
      <c r="C43" s="175" t="s">
        <v>458</v>
      </c>
      <c r="D43" s="184">
        <v>1250</v>
      </c>
      <c r="E43" s="176">
        <v>1.8</v>
      </c>
      <c r="F43" s="207">
        <f t="shared" si="0"/>
        <v>2250</v>
      </c>
    </row>
    <row r="44" spans="1:6" ht="150" customHeight="1" x14ac:dyDescent="0.25">
      <c r="A44" s="176">
        <v>47326</v>
      </c>
      <c r="B44" s="183"/>
      <c r="C44" s="175" t="s">
        <v>459</v>
      </c>
      <c r="D44" s="184">
        <v>1300</v>
      </c>
      <c r="E44" s="176">
        <v>1.8</v>
      </c>
      <c r="F44" s="207">
        <f t="shared" si="0"/>
        <v>2340</v>
      </c>
    </row>
    <row r="45" spans="1:6" ht="150" customHeight="1" x14ac:dyDescent="0.25">
      <c r="A45" s="176">
        <v>47328</v>
      </c>
      <c r="B45" s="183"/>
      <c r="C45" s="175" t="s">
        <v>460</v>
      </c>
      <c r="D45" s="184">
        <v>1300</v>
      </c>
      <c r="E45" s="176">
        <v>1.8</v>
      </c>
      <c r="F45" s="207">
        <f t="shared" si="0"/>
        <v>2340</v>
      </c>
    </row>
    <row r="46" spans="1:6" ht="150" customHeight="1" x14ac:dyDescent="0.25">
      <c r="A46" s="176">
        <v>47331</v>
      </c>
      <c r="B46" s="183"/>
      <c r="C46" s="175" t="s">
        <v>461</v>
      </c>
      <c r="D46" s="184">
        <v>1300</v>
      </c>
      <c r="E46" s="176">
        <v>1.8</v>
      </c>
      <c r="F46" s="207">
        <f t="shared" si="0"/>
        <v>2340</v>
      </c>
    </row>
    <row r="47" spans="1:6" ht="150" customHeight="1" x14ac:dyDescent="0.25">
      <c r="A47" s="176">
        <v>47334</v>
      </c>
      <c r="B47" s="183"/>
      <c r="C47" s="175" t="s">
        <v>462</v>
      </c>
      <c r="D47" s="184">
        <v>1300</v>
      </c>
      <c r="E47" s="176">
        <v>1.8</v>
      </c>
      <c r="F47" s="207">
        <f t="shared" si="0"/>
        <v>2340</v>
      </c>
    </row>
    <row r="48" spans="1:6" ht="150" customHeight="1" x14ac:dyDescent="0.25">
      <c r="A48" s="176">
        <v>47336</v>
      </c>
      <c r="B48" s="183"/>
      <c r="C48" s="175" t="s">
        <v>463</v>
      </c>
      <c r="D48" s="184">
        <v>1300</v>
      </c>
      <c r="E48" s="176">
        <v>1.8</v>
      </c>
      <c r="F48" s="207">
        <f t="shared" si="0"/>
        <v>2340</v>
      </c>
    </row>
    <row r="49" spans="1:6" ht="150" customHeight="1" x14ac:dyDescent="0.25">
      <c r="A49" s="176">
        <v>47337</v>
      </c>
      <c r="B49" s="183"/>
      <c r="C49" s="175" t="s">
        <v>464</v>
      </c>
      <c r="D49" s="184">
        <v>1300</v>
      </c>
      <c r="E49" s="176">
        <v>1.8</v>
      </c>
      <c r="F49" s="207">
        <f t="shared" si="0"/>
        <v>2340</v>
      </c>
    </row>
    <row r="50" spans="1:6" ht="150" customHeight="1" x14ac:dyDescent="0.25">
      <c r="A50" s="176">
        <v>47340</v>
      </c>
      <c r="B50" s="183"/>
      <c r="C50" s="175" t="s">
        <v>465</v>
      </c>
      <c r="D50" s="184">
        <v>1300</v>
      </c>
      <c r="E50" s="176">
        <v>1.8</v>
      </c>
      <c r="F50" s="207">
        <f t="shared" si="0"/>
        <v>2340</v>
      </c>
    </row>
    <row r="51" spans="1:6" ht="150" customHeight="1" x14ac:dyDescent="0.25">
      <c r="A51" s="176">
        <v>46546</v>
      </c>
      <c r="B51" s="183"/>
      <c r="C51" s="175" t="s">
        <v>466</v>
      </c>
      <c r="D51" s="184">
        <v>1250</v>
      </c>
      <c r="E51" s="176">
        <v>1.8</v>
      </c>
      <c r="F51" s="207">
        <f t="shared" si="0"/>
        <v>2250</v>
      </c>
    </row>
    <row r="52" spans="1:6" ht="150" customHeight="1" x14ac:dyDescent="0.25">
      <c r="A52" s="176">
        <v>46814</v>
      </c>
      <c r="B52" s="183"/>
      <c r="C52" s="175" t="s">
        <v>467</v>
      </c>
      <c r="D52" s="184">
        <v>1250</v>
      </c>
      <c r="E52" s="176">
        <v>1.8</v>
      </c>
      <c r="F52" s="207">
        <f t="shared" si="0"/>
        <v>2250</v>
      </c>
    </row>
    <row r="53" spans="1:6" ht="150" customHeight="1" x14ac:dyDescent="0.25">
      <c r="A53" s="176">
        <v>46817</v>
      </c>
      <c r="B53" s="183"/>
      <c r="C53" s="175" t="s">
        <v>468</v>
      </c>
      <c r="D53" s="184">
        <v>1250</v>
      </c>
      <c r="E53" s="176">
        <v>1.8</v>
      </c>
      <c r="F53" s="207">
        <f t="shared" si="0"/>
        <v>2250</v>
      </c>
    </row>
    <row r="54" spans="1:6" ht="150" customHeight="1" x14ac:dyDescent="0.25">
      <c r="A54" s="176">
        <v>46815</v>
      </c>
      <c r="B54" s="183"/>
      <c r="C54" s="175" t="s">
        <v>469</v>
      </c>
      <c r="D54" s="184">
        <v>1250</v>
      </c>
      <c r="E54" s="176">
        <v>1.8</v>
      </c>
      <c r="F54" s="207">
        <f t="shared" si="0"/>
        <v>2250</v>
      </c>
    </row>
    <row r="55" spans="1:6" ht="150" customHeight="1" x14ac:dyDescent="0.25">
      <c r="A55" s="176">
        <v>46816</v>
      </c>
      <c r="B55" s="183"/>
      <c r="C55" s="175" t="s">
        <v>470</v>
      </c>
      <c r="D55" s="184">
        <v>1250</v>
      </c>
      <c r="E55" s="176">
        <v>1.8</v>
      </c>
      <c r="F55" s="207">
        <f t="shared" si="0"/>
        <v>2250</v>
      </c>
    </row>
    <row r="56" spans="1:6" ht="150" customHeight="1" x14ac:dyDescent="0.25">
      <c r="A56" s="176">
        <v>46549</v>
      </c>
      <c r="B56" s="183"/>
      <c r="C56" s="175" t="s">
        <v>471</v>
      </c>
      <c r="D56" s="184">
        <v>1300</v>
      </c>
      <c r="E56" s="176">
        <v>1.8</v>
      </c>
      <c r="F56" s="207">
        <f t="shared" si="0"/>
        <v>2340</v>
      </c>
    </row>
    <row r="57" spans="1:6" ht="150" customHeight="1" x14ac:dyDescent="0.25">
      <c r="A57" s="176">
        <v>46550</v>
      </c>
      <c r="B57" s="183"/>
      <c r="C57" s="175" t="s">
        <v>472</v>
      </c>
      <c r="D57" s="184">
        <v>1300</v>
      </c>
      <c r="E57" s="176">
        <v>1.8</v>
      </c>
      <c r="F57" s="207">
        <f t="shared" si="0"/>
        <v>2340</v>
      </c>
    </row>
    <row r="58" spans="1:6" ht="150" customHeight="1" x14ac:dyDescent="0.25">
      <c r="A58" s="176">
        <v>46554</v>
      </c>
      <c r="B58" s="183"/>
      <c r="C58" s="175" t="s">
        <v>473</v>
      </c>
      <c r="D58" s="184">
        <v>1300</v>
      </c>
      <c r="E58" s="176">
        <v>1.8</v>
      </c>
      <c r="F58" s="207">
        <f t="shared" si="0"/>
        <v>2340</v>
      </c>
    </row>
    <row r="59" spans="1:6" ht="150" customHeight="1" x14ac:dyDescent="0.25">
      <c r="A59" s="176">
        <v>46555</v>
      </c>
      <c r="B59" s="183"/>
      <c r="C59" s="175" t="s">
        <v>474</v>
      </c>
      <c r="D59" s="184">
        <v>1300</v>
      </c>
      <c r="E59" s="176">
        <v>1.8</v>
      </c>
      <c r="F59" s="207">
        <f t="shared" si="0"/>
        <v>2340</v>
      </c>
    </row>
    <row r="60" spans="1:6" ht="150" customHeight="1" x14ac:dyDescent="0.25">
      <c r="A60" s="176">
        <v>46556</v>
      </c>
      <c r="B60" s="183"/>
      <c r="C60" s="175" t="s">
        <v>475</v>
      </c>
      <c r="D60" s="184">
        <v>1300</v>
      </c>
      <c r="E60" s="176">
        <v>1.8</v>
      </c>
      <c r="F60" s="207">
        <f t="shared" si="0"/>
        <v>2340</v>
      </c>
    </row>
    <row r="61" spans="1:6" ht="150" customHeight="1" x14ac:dyDescent="0.25">
      <c r="A61" s="176">
        <v>46557</v>
      </c>
      <c r="B61" s="183"/>
      <c r="C61" s="175" t="s">
        <v>476</v>
      </c>
      <c r="D61" s="184">
        <v>1300</v>
      </c>
      <c r="E61" s="176">
        <v>1.8</v>
      </c>
      <c r="F61" s="207">
        <f t="shared" si="0"/>
        <v>2340</v>
      </c>
    </row>
    <row r="62" spans="1:6" ht="150" customHeight="1" x14ac:dyDescent="0.25">
      <c r="A62" s="176">
        <v>46558</v>
      </c>
      <c r="B62" s="183"/>
      <c r="C62" s="175" t="s">
        <v>477</v>
      </c>
      <c r="D62" s="184">
        <v>1300</v>
      </c>
      <c r="E62" s="176">
        <v>1.8</v>
      </c>
      <c r="F62" s="207">
        <f t="shared" si="0"/>
        <v>2340</v>
      </c>
    </row>
    <row r="63" spans="1:6" ht="119.25" customHeight="1" x14ac:dyDescent="0.25">
      <c r="A63" s="175" t="s">
        <v>478</v>
      </c>
      <c r="B63" s="183"/>
      <c r="C63" s="175" t="s">
        <v>479</v>
      </c>
      <c r="D63" s="184">
        <v>2200</v>
      </c>
      <c r="E63" s="176">
        <v>1.8</v>
      </c>
      <c r="F63" s="207">
        <f t="shared" si="0"/>
        <v>3960</v>
      </c>
    </row>
    <row r="64" spans="1:6" ht="119.25" customHeight="1" x14ac:dyDescent="0.25">
      <c r="A64" s="175" t="s">
        <v>480</v>
      </c>
      <c r="B64" s="183"/>
      <c r="C64" s="175" t="s">
        <v>481</v>
      </c>
      <c r="D64" s="184">
        <v>2200</v>
      </c>
      <c r="E64" s="176">
        <v>1.8</v>
      </c>
      <c r="F64" s="207">
        <f t="shared" si="0"/>
        <v>3960</v>
      </c>
    </row>
    <row r="65" spans="1:6" ht="139.5" customHeight="1" x14ac:dyDescent="0.25">
      <c r="A65" s="175" t="s">
        <v>482</v>
      </c>
      <c r="B65" s="183"/>
      <c r="C65" s="175" t="s">
        <v>483</v>
      </c>
      <c r="D65" s="184">
        <v>2200</v>
      </c>
      <c r="E65" s="176">
        <v>1.8</v>
      </c>
      <c r="F65" s="207">
        <f t="shared" si="0"/>
        <v>3960</v>
      </c>
    </row>
    <row r="66" spans="1:6" ht="139.5" customHeight="1" x14ac:dyDescent="0.25">
      <c r="A66" s="179" t="s">
        <v>484</v>
      </c>
      <c r="B66" s="183"/>
      <c r="C66" s="175" t="s">
        <v>485</v>
      </c>
      <c r="D66" s="184">
        <v>2500</v>
      </c>
      <c r="E66" s="176">
        <v>1.8</v>
      </c>
      <c r="F66" s="207">
        <f t="shared" si="0"/>
        <v>4500</v>
      </c>
    </row>
    <row r="67" spans="1:6" ht="139.5" customHeight="1" x14ac:dyDescent="0.25">
      <c r="A67" s="179" t="s">
        <v>486</v>
      </c>
      <c r="B67" s="183"/>
      <c r="C67" s="175" t="s">
        <v>487</v>
      </c>
      <c r="D67" s="184">
        <v>2500</v>
      </c>
      <c r="E67" s="176">
        <v>1.8</v>
      </c>
      <c r="F67" s="207">
        <f t="shared" si="0"/>
        <v>4500</v>
      </c>
    </row>
    <row r="68" spans="1:6" ht="153.75" customHeight="1" x14ac:dyDescent="0.25">
      <c r="A68" s="179" t="s">
        <v>488</v>
      </c>
      <c r="B68" s="183"/>
      <c r="C68" s="175" t="s">
        <v>489</v>
      </c>
      <c r="D68" s="185">
        <v>3300</v>
      </c>
      <c r="E68" s="176">
        <v>1.8</v>
      </c>
      <c r="F68" s="207">
        <f t="shared" ref="F68:F75" si="1">D68*E68</f>
        <v>5940</v>
      </c>
    </row>
    <row r="69" spans="1:6" ht="139.5" customHeight="1" x14ac:dyDescent="0.25">
      <c r="A69" s="179" t="s">
        <v>490</v>
      </c>
      <c r="B69" s="183"/>
      <c r="C69" s="175" t="s">
        <v>491</v>
      </c>
      <c r="D69" s="184">
        <v>3300</v>
      </c>
      <c r="E69" s="176">
        <v>1.8</v>
      </c>
      <c r="F69" s="207">
        <f t="shared" si="1"/>
        <v>5940</v>
      </c>
    </row>
    <row r="70" spans="1:6" ht="139.5" customHeight="1" x14ac:dyDescent="0.25">
      <c r="A70" s="179" t="s">
        <v>492</v>
      </c>
      <c r="B70" s="183"/>
      <c r="C70" s="175" t="s">
        <v>493</v>
      </c>
      <c r="D70" s="184">
        <v>3300</v>
      </c>
      <c r="E70" s="176">
        <v>1.8</v>
      </c>
      <c r="F70" s="207">
        <f t="shared" si="1"/>
        <v>5940</v>
      </c>
    </row>
    <row r="71" spans="1:6" ht="119.25" customHeight="1" x14ac:dyDescent="0.25">
      <c r="A71" s="175" t="s">
        <v>494</v>
      </c>
      <c r="B71" s="176"/>
      <c r="C71" s="175" t="s">
        <v>495</v>
      </c>
      <c r="D71" s="181">
        <v>3050</v>
      </c>
      <c r="E71" s="176">
        <v>1.8</v>
      </c>
      <c r="F71" s="207">
        <f t="shared" si="1"/>
        <v>5490</v>
      </c>
    </row>
    <row r="72" spans="1:6" ht="119.25" customHeight="1" x14ac:dyDescent="0.25">
      <c r="A72" s="176">
        <v>4517</v>
      </c>
      <c r="B72" s="176"/>
      <c r="C72" s="175" t="s">
        <v>496</v>
      </c>
      <c r="D72" s="181">
        <v>2750</v>
      </c>
      <c r="E72" s="176">
        <v>1.8</v>
      </c>
      <c r="F72" s="207">
        <f t="shared" si="1"/>
        <v>4950</v>
      </c>
    </row>
    <row r="73" spans="1:6" ht="119.25" customHeight="1" x14ac:dyDescent="0.25">
      <c r="A73" s="175" t="s">
        <v>497</v>
      </c>
      <c r="B73" s="176"/>
      <c r="C73" s="175" t="s">
        <v>498</v>
      </c>
      <c r="D73" s="181">
        <v>3050</v>
      </c>
      <c r="E73" s="176">
        <v>1.8</v>
      </c>
      <c r="F73" s="207">
        <f t="shared" si="1"/>
        <v>5490</v>
      </c>
    </row>
    <row r="74" spans="1:6" ht="119.25" customHeight="1" x14ac:dyDescent="0.25">
      <c r="A74" s="175">
        <v>41563</v>
      </c>
      <c r="B74" s="176"/>
      <c r="C74" s="175" t="s">
        <v>499</v>
      </c>
      <c r="D74" s="181">
        <v>3300</v>
      </c>
      <c r="E74" s="176">
        <v>1.8</v>
      </c>
      <c r="F74" s="207">
        <f t="shared" si="1"/>
        <v>5940</v>
      </c>
    </row>
    <row r="75" spans="1:6" ht="119.25" customHeight="1" x14ac:dyDescent="0.25">
      <c r="A75" s="175">
        <v>14668</v>
      </c>
      <c r="B75" s="176"/>
      <c r="C75" s="175" t="s">
        <v>500</v>
      </c>
      <c r="D75" s="181">
        <v>3300</v>
      </c>
      <c r="E75" s="176">
        <v>1.8</v>
      </c>
      <c r="F75" s="207">
        <f t="shared" si="1"/>
        <v>5940</v>
      </c>
    </row>
  </sheetData>
  <dataConsolidate/>
  <mergeCells count="2">
    <mergeCell ref="A1:F1"/>
    <mergeCell ref="G1:I1"/>
  </mergeCells>
  <hyperlinks>
    <hyperlink ref="G1:I1" location="ОГЛАВЛЕНИЕ!A1" display="Вернуться к оглавлению" xr:uid="{624FBFF3-BAD8-4E5C-B509-E621C345F1C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1AE8-34B8-4801-80CE-923691AC42DD}">
  <sheetPr codeName="Лист3">
    <tabColor rgb="FFFFC000"/>
  </sheetPr>
  <dimension ref="A1:N39"/>
  <sheetViews>
    <sheetView zoomScaleNormal="100" workbookViewId="0">
      <pane ySplit="2" topLeftCell="A3" activePane="bottomLeft" state="frozen"/>
      <selection activeCell="B4" sqref="B4"/>
      <selection pane="bottomLeft" activeCell="G1" sqref="G1:I1"/>
    </sheetView>
  </sheetViews>
  <sheetFormatPr defaultColWidth="9.140625" defaultRowHeight="15" x14ac:dyDescent="0.25"/>
  <cols>
    <col min="1" max="1" width="24.42578125" style="174" customWidth="1"/>
    <col min="2" max="2" width="41.85546875" style="174" customWidth="1"/>
    <col min="3" max="3" width="38.140625" style="174" customWidth="1"/>
    <col min="4" max="4" width="17.85546875" style="186" hidden="1" customWidth="1"/>
    <col min="5" max="5" width="38.140625" style="174" hidden="1" customWidth="1"/>
    <col min="6" max="6" width="16.28515625" customWidth="1"/>
    <col min="7" max="7" width="4.85546875" style="174" customWidth="1"/>
    <col min="8" max="8" width="5.7109375" style="174" customWidth="1"/>
    <col min="9" max="9" width="14.28515625" style="174" customWidth="1"/>
    <col min="10" max="10" width="5.28515625" style="174" customWidth="1"/>
    <col min="11" max="11" width="5.140625" style="174" customWidth="1"/>
    <col min="12" max="12" width="5.28515625" style="174" customWidth="1"/>
    <col min="13" max="21" width="13.7109375" style="174" customWidth="1"/>
    <col min="22" max="16384" width="9.140625" style="174"/>
  </cols>
  <sheetData>
    <row r="1" spans="1:12" ht="20.100000000000001" customHeight="1" x14ac:dyDescent="0.25">
      <c r="A1" s="379" t="s">
        <v>782</v>
      </c>
      <c r="B1" s="379"/>
      <c r="C1" s="379"/>
      <c r="D1" s="379"/>
      <c r="E1" s="379"/>
      <c r="F1" s="379"/>
      <c r="G1" s="378" t="s">
        <v>783</v>
      </c>
      <c r="H1" s="378"/>
      <c r="I1" s="378"/>
    </row>
    <row r="2" spans="1:12" ht="15" customHeight="1" x14ac:dyDescent="0.25">
      <c r="A2" s="188" t="s">
        <v>391</v>
      </c>
      <c r="B2" s="188" t="s">
        <v>392</v>
      </c>
      <c r="C2" s="188" t="s">
        <v>393</v>
      </c>
      <c r="D2" s="206" t="s">
        <v>394</v>
      </c>
      <c r="E2" s="188"/>
      <c r="F2" s="188" t="s">
        <v>781</v>
      </c>
    </row>
    <row r="3" spans="1:12" ht="139.5" customHeight="1" x14ac:dyDescent="0.25">
      <c r="A3" s="187" t="s">
        <v>501</v>
      </c>
      <c r="B3" s="188"/>
      <c r="C3" s="175" t="s">
        <v>502</v>
      </c>
      <c r="D3" s="189">
        <v>1600</v>
      </c>
      <c r="E3" s="176">
        <v>1.8</v>
      </c>
      <c r="F3" s="207">
        <f>D3*E3</f>
        <v>2880</v>
      </c>
    </row>
    <row r="4" spans="1:12" ht="123.75" customHeight="1" x14ac:dyDescent="0.25">
      <c r="A4" s="175" t="s">
        <v>503</v>
      </c>
      <c r="B4" s="176"/>
      <c r="C4" s="175" t="s">
        <v>504</v>
      </c>
      <c r="D4" s="189">
        <v>3900</v>
      </c>
      <c r="E4" s="176">
        <v>1.8</v>
      </c>
      <c r="F4" s="207">
        <f t="shared" ref="F4:F38" si="0">D4*E4</f>
        <v>7020</v>
      </c>
    </row>
    <row r="5" spans="1:12" ht="150" x14ac:dyDescent="0.25">
      <c r="A5" s="176">
        <v>67119</v>
      </c>
      <c r="B5" s="176"/>
      <c r="C5" s="175" t="s">
        <v>505</v>
      </c>
      <c r="D5" s="189">
        <v>7400</v>
      </c>
      <c r="E5" s="176">
        <v>1.8</v>
      </c>
      <c r="F5" s="207">
        <f t="shared" si="0"/>
        <v>13320</v>
      </c>
    </row>
    <row r="6" spans="1:12" ht="139.5" customHeight="1" x14ac:dyDescent="0.25">
      <c r="A6" s="190" t="s">
        <v>506</v>
      </c>
      <c r="B6" s="176"/>
      <c r="C6" s="175" t="s">
        <v>507</v>
      </c>
      <c r="D6" s="191">
        <v>3500</v>
      </c>
      <c r="E6" s="176">
        <v>1.8</v>
      </c>
      <c r="F6" s="207">
        <f t="shared" si="0"/>
        <v>6300</v>
      </c>
    </row>
    <row r="7" spans="1:12" ht="139.5" customHeight="1" x14ac:dyDescent="0.25">
      <c r="A7" s="190" t="s">
        <v>508</v>
      </c>
      <c r="B7" s="176"/>
      <c r="C7" s="175" t="s">
        <v>509</v>
      </c>
      <c r="D7" s="191">
        <v>3550</v>
      </c>
      <c r="E7" s="176">
        <v>1.8</v>
      </c>
      <c r="F7" s="207">
        <f t="shared" si="0"/>
        <v>6390</v>
      </c>
      <c r="G7" s="192"/>
      <c r="H7" s="193"/>
      <c r="I7" s="194"/>
      <c r="J7" s="195"/>
      <c r="K7" s="196"/>
      <c r="L7" s="197"/>
    </row>
    <row r="8" spans="1:12" ht="139.5" customHeight="1" x14ac:dyDescent="0.25">
      <c r="A8" s="190" t="s">
        <v>510</v>
      </c>
      <c r="B8" s="176"/>
      <c r="C8" s="175" t="s">
        <v>511</v>
      </c>
      <c r="D8" s="191">
        <v>2400</v>
      </c>
      <c r="E8" s="176">
        <v>1.8</v>
      </c>
      <c r="F8" s="207">
        <f t="shared" si="0"/>
        <v>4320</v>
      </c>
    </row>
    <row r="9" spans="1:12" ht="139.5" customHeight="1" x14ac:dyDescent="0.25">
      <c r="A9" s="190" t="s">
        <v>512</v>
      </c>
      <c r="B9" s="176"/>
      <c r="C9" s="175" t="s">
        <v>513</v>
      </c>
      <c r="D9" s="191">
        <v>2500</v>
      </c>
      <c r="E9" s="176">
        <v>1.8</v>
      </c>
      <c r="F9" s="207">
        <f t="shared" si="0"/>
        <v>4500</v>
      </c>
      <c r="G9" s="192"/>
      <c r="H9" s="193"/>
      <c r="I9" s="194"/>
      <c r="J9" s="195"/>
      <c r="K9" s="196"/>
      <c r="L9" s="197"/>
    </row>
    <row r="10" spans="1:12" ht="180" x14ac:dyDescent="0.25">
      <c r="A10" s="198">
        <v>32966</v>
      </c>
      <c r="B10" s="176"/>
      <c r="C10" s="175" t="s">
        <v>514</v>
      </c>
      <c r="D10" s="191">
        <v>6400</v>
      </c>
      <c r="E10" s="176">
        <v>1.8</v>
      </c>
      <c r="F10" s="207">
        <f t="shared" si="0"/>
        <v>11520</v>
      </c>
    </row>
    <row r="11" spans="1:12" ht="152.25" customHeight="1" x14ac:dyDescent="0.25">
      <c r="A11" s="175" t="s">
        <v>515</v>
      </c>
      <c r="B11" s="176"/>
      <c r="C11" s="175" t="s">
        <v>516</v>
      </c>
      <c r="D11" s="189">
        <v>3200</v>
      </c>
      <c r="E11" s="176">
        <v>1.8</v>
      </c>
      <c r="F11" s="207">
        <f t="shared" si="0"/>
        <v>5760</v>
      </c>
    </row>
    <row r="12" spans="1:12" ht="138.75" customHeight="1" x14ac:dyDescent="0.25">
      <c r="A12" s="175" t="s">
        <v>517</v>
      </c>
      <c r="B12" s="176"/>
      <c r="C12" s="175" t="s">
        <v>518</v>
      </c>
      <c r="D12" s="189">
        <v>3100</v>
      </c>
      <c r="E12" s="176">
        <v>1.8</v>
      </c>
      <c r="F12" s="207">
        <f t="shared" si="0"/>
        <v>5580</v>
      </c>
    </row>
    <row r="13" spans="1:12" ht="115.5" customHeight="1" x14ac:dyDescent="0.25">
      <c r="A13" s="175" t="s">
        <v>519</v>
      </c>
      <c r="B13" s="176"/>
      <c r="C13" s="175" t="s">
        <v>520</v>
      </c>
      <c r="D13" s="189">
        <v>3200</v>
      </c>
      <c r="E13" s="176">
        <v>1.8</v>
      </c>
      <c r="F13" s="207">
        <f t="shared" si="0"/>
        <v>5760</v>
      </c>
    </row>
    <row r="14" spans="1:12" ht="115.5" customHeight="1" x14ac:dyDescent="0.25">
      <c r="A14" s="175" t="s">
        <v>521</v>
      </c>
      <c r="B14" s="176"/>
      <c r="C14" s="175" t="s">
        <v>522</v>
      </c>
      <c r="D14" s="189">
        <v>3600</v>
      </c>
      <c r="E14" s="176">
        <v>1.8</v>
      </c>
      <c r="F14" s="207">
        <f t="shared" si="0"/>
        <v>6480</v>
      </c>
    </row>
    <row r="15" spans="1:12" ht="119.25" customHeight="1" x14ac:dyDescent="0.25">
      <c r="A15" s="175" t="s">
        <v>523</v>
      </c>
      <c r="B15" s="176"/>
      <c r="C15" s="175" t="s">
        <v>524</v>
      </c>
      <c r="D15" s="189">
        <v>3100</v>
      </c>
      <c r="E15" s="176">
        <v>1.8</v>
      </c>
      <c r="F15" s="207">
        <f t="shared" si="0"/>
        <v>5580</v>
      </c>
    </row>
    <row r="16" spans="1:12" ht="119.25" customHeight="1" x14ac:dyDescent="0.25">
      <c r="A16" s="175" t="s">
        <v>525</v>
      </c>
      <c r="B16" s="176"/>
      <c r="C16" s="175" t="s">
        <v>526</v>
      </c>
      <c r="D16" s="189">
        <v>3500</v>
      </c>
      <c r="E16" s="176">
        <v>1.8</v>
      </c>
      <c r="F16" s="207">
        <f t="shared" si="0"/>
        <v>6300</v>
      </c>
    </row>
    <row r="17" spans="1:14" ht="139.5" customHeight="1" x14ac:dyDescent="0.25">
      <c r="A17" s="176">
        <v>47037</v>
      </c>
      <c r="B17" s="176"/>
      <c r="C17" s="175" t="s">
        <v>527</v>
      </c>
      <c r="D17" s="189">
        <v>6400</v>
      </c>
      <c r="E17" s="176">
        <v>1.8</v>
      </c>
      <c r="F17" s="207">
        <f t="shared" si="0"/>
        <v>11520</v>
      </c>
    </row>
    <row r="18" spans="1:14" ht="119.25" customHeight="1" x14ac:dyDescent="0.25">
      <c r="A18" s="176">
        <v>52699</v>
      </c>
      <c r="B18" s="176"/>
      <c r="C18" s="175" t="s">
        <v>528</v>
      </c>
      <c r="D18" s="189">
        <v>4950</v>
      </c>
      <c r="E18" s="176">
        <v>1.8</v>
      </c>
      <c r="F18" s="207">
        <f t="shared" si="0"/>
        <v>8910</v>
      </c>
    </row>
    <row r="19" spans="1:14" ht="119.25" customHeight="1" x14ac:dyDescent="0.25">
      <c r="A19" s="175" t="s">
        <v>529</v>
      </c>
      <c r="B19" s="176"/>
      <c r="C19" s="175" t="s">
        <v>530</v>
      </c>
      <c r="D19" s="189">
        <v>4950</v>
      </c>
      <c r="E19" s="176">
        <v>1.8</v>
      </c>
      <c r="F19" s="207">
        <f t="shared" si="0"/>
        <v>8910</v>
      </c>
    </row>
    <row r="20" spans="1:14" ht="119.25" customHeight="1" x14ac:dyDescent="0.25">
      <c r="A20" s="175" t="s">
        <v>531</v>
      </c>
      <c r="B20" s="176"/>
      <c r="C20" s="175" t="s">
        <v>532</v>
      </c>
      <c r="D20" s="189">
        <v>3900</v>
      </c>
      <c r="E20" s="176">
        <v>1.8</v>
      </c>
      <c r="F20" s="207">
        <f t="shared" si="0"/>
        <v>7020</v>
      </c>
    </row>
    <row r="21" spans="1:14" ht="119.25" customHeight="1" x14ac:dyDescent="0.25">
      <c r="A21" s="176">
        <v>3943</v>
      </c>
      <c r="B21" s="176"/>
      <c r="C21" s="175" t="s">
        <v>533</v>
      </c>
      <c r="D21" s="189">
        <v>3600</v>
      </c>
      <c r="E21" s="176">
        <v>1.8</v>
      </c>
      <c r="F21" s="207">
        <f t="shared" si="0"/>
        <v>6480</v>
      </c>
    </row>
    <row r="22" spans="1:14" ht="139.5" customHeight="1" x14ac:dyDescent="0.25">
      <c r="A22" s="190" t="s">
        <v>534</v>
      </c>
      <c r="B22" s="176"/>
      <c r="C22" s="175" t="s">
        <v>535</v>
      </c>
      <c r="D22" s="191">
        <v>3500</v>
      </c>
      <c r="E22" s="176">
        <v>1.8</v>
      </c>
      <c r="F22" s="207">
        <f t="shared" si="0"/>
        <v>6300</v>
      </c>
    </row>
    <row r="23" spans="1:14" ht="156.75" customHeight="1" x14ac:dyDescent="0.25">
      <c r="A23" s="190" t="s">
        <v>536</v>
      </c>
      <c r="B23" s="176"/>
      <c r="C23" s="175" t="s">
        <v>537</v>
      </c>
      <c r="D23" s="191">
        <v>3600</v>
      </c>
      <c r="E23" s="176">
        <v>1.8</v>
      </c>
      <c r="F23" s="207">
        <f t="shared" si="0"/>
        <v>6480</v>
      </c>
      <c r="G23" s="180"/>
      <c r="H23" s="180"/>
      <c r="I23" s="180"/>
      <c r="J23" s="180"/>
      <c r="K23" s="180"/>
      <c r="L23" s="180"/>
      <c r="M23" s="180"/>
    </row>
    <row r="24" spans="1:14" ht="139.5" customHeight="1" x14ac:dyDescent="0.25">
      <c r="A24" s="190" t="s">
        <v>538</v>
      </c>
      <c r="B24" s="199"/>
      <c r="C24" s="175" t="s">
        <v>539</v>
      </c>
      <c r="D24" s="191">
        <v>7850</v>
      </c>
      <c r="E24" s="176">
        <v>1.8</v>
      </c>
      <c r="F24" s="207">
        <f t="shared" si="0"/>
        <v>14130</v>
      </c>
      <c r="G24" s="180"/>
      <c r="H24" s="180"/>
      <c r="I24" s="180"/>
      <c r="J24" s="180"/>
      <c r="K24" s="180"/>
      <c r="L24" s="180"/>
      <c r="M24" s="180"/>
    </row>
    <row r="25" spans="1:14" ht="177.75" customHeight="1" x14ac:dyDescent="0.25">
      <c r="A25" s="190" t="s">
        <v>540</v>
      </c>
      <c r="B25" s="199"/>
      <c r="C25" s="175" t="s">
        <v>541</v>
      </c>
      <c r="D25" s="191">
        <v>7950</v>
      </c>
      <c r="E25" s="176">
        <v>1.8</v>
      </c>
      <c r="F25" s="207">
        <f t="shared" si="0"/>
        <v>14310</v>
      </c>
      <c r="G25" s="180"/>
      <c r="H25" s="180"/>
      <c r="I25" s="180"/>
      <c r="J25" s="180"/>
      <c r="K25" s="180"/>
      <c r="L25" s="180"/>
      <c r="M25" s="180"/>
    </row>
    <row r="26" spans="1:14" ht="139.5" customHeight="1" x14ac:dyDescent="0.25">
      <c r="A26" s="190" t="s">
        <v>542</v>
      </c>
      <c r="B26" s="199"/>
      <c r="C26" s="175" t="s">
        <v>543</v>
      </c>
      <c r="D26" s="191">
        <v>9150</v>
      </c>
      <c r="E26" s="176">
        <v>1.8</v>
      </c>
      <c r="F26" s="207">
        <f t="shared" si="0"/>
        <v>16470</v>
      </c>
    </row>
    <row r="27" spans="1:14" ht="139.5" customHeight="1" x14ac:dyDescent="0.25">
      <c r="A27" s="190" t="s">
        <v>544</v>
      </c>
      <c r="B27" s="199"/>
      <c r="C27" s="175" t="s">
        <v>545</v>
      </c>
      <c r="D27" s="191">
        <v>9250</v>
      </c>
      <c r="E27" s="176">
        <v>1.8</v>
      </c>
      <c r="F27" s="207">
        <f t="shared" si="0"/>
        <v>16650</v>
      </c>
      <c r="G27" s="180"/>
      <c r="H27" s="180"/>
      <c r="I27" s="180"/>
      <c r="J27" s="180"/>
      <c r="K27" s="180"/>
      <c r="L27" s="180"/>
      <c r="M27" s="180"/>
    </row>
    <row r="28" spans="1:14" ht="139.5" customHeight="1" x14ac:dyDescent="0.25">
      <c r="A28" s="190" t="s">
        <v>546</v>
      </c>
      <c r="B28" s="176"/>
      <c r="C28" s="175" t="s">
        <v>547</v>
      </c>
      <c r="D28" s="191">
        <v>13950</v>
      </c>
      <c r="E28" s="176">
        <v>1.8</v>
      </c>
      <c r="F28" s="207">
        <f t="shared" si="0"/>
        <v>25110</v>
      </c>
      <c r="G28" s="180"/>
      <c r="H28" s="180"/>
      <c r="I28" s="180"/>
      <c r="J28" s="180"/>
      <c r="K28" s="180"/>
      <c r="L28" s="180"/>
      <c r="M28" s="180"/>
    </row>
    <row r="29" spans="1:14" ht="139.5" customHeight="1" x14ac:dyDescent="0.25">
      <c r="A29" s="190" t="s">
        <v>548</v>
      </c>
      <c r="B29" s="176"/>
      <c r="C29" s="175" t="s">
        <v>549</v>
      </c>
      <c r="D29" s="191">
        <v>14050</v>
      </c>
      <c r="E29" s="176">
        <v>1.8</v>
      </c>
      <c r="F29" s="207">
        <f t="shared" si="0"/>
        <v>25290</v>
      </c>
      <c r="G29" s="180"/>
      <c r="H29" s="180"/>
      <c r="I29" s="180"/>
      <c r="J29" s="180"/>
      <c r="K29" s="180"/>
      <c r="L29" s="180"/>
      <c r="M29" s="180"/>
    </row>
    <row r="30" spans="1:14" ht="139.5" customHeight="1" x14ac:dyDescent="0.25">
      <c r="A30" s="190">
        <v>32965</v>
      </c>
      <c r="B30" s="183"/>
      <c r="C30" s="178" t="s">
        <v>550</v>
      </c>
      <c r="D30" s="200">
        <v>11500</v>
      </c>
      <c r="E30" s="176">
        <v>1.8</v>
      </c>
      <c r="F30" s="207">
        <f t="shared" si="0"/>
        <v>20700</v>
      </c>
      <c r="G30" s="180"/>
      <c r="H30" s="180"/>
      <c r="I30" s="180"/>
      <c r="J30" s="180"/>
      <c r="K30" s="180"/>
      <c r="L30" s="180"/>
      <c r="M30" s="180"/>
    </row>
    <row r="31" spans="1:14" ht="158.25" customHeight="1" x14ac:dyDescent="0.25">
      <c r="A31" s="190" t="s">
        <v>551</v>
      </c>
      <c r="B31" s="176"/>
      <c r="C31" s="175" t="s">
        <v>552</v>
      </c>
      <c r="D31" s="191">
        <v>3450</v>
      </c>
      <c r="E31" s="176">
        <v>1.8</v>
      </c>
      <c r="F31" s="207">
        <f t="shared" si="0"/>
        <v>6210</v>
      </c>
      <c r="G31" s="180"/>
      <c r="H31" s="180"/>
      <c r="I31" s="180"/>
      <c r="J31" s="180"/>
      <c r="K31" s="180"/>
      <c r="L31" s="180"/>
      <c r="M31" s="180"/>
      <c r="N31" s="180"/>
    </row>
    <row r="32" spans="1:14" ht="150" customHeight="1" x14ac:dyDescent="0.25">
      <c r="A32" s="190" t="s">
        <v>553</v>
      </c>
      <c r="B32" s="176"/>
      <c r="C32" s="175" t="s">
        <v>554</v>
      </c>
      <c r="D32" s="191">
        <v>13650</v>
      </c>
      <c r="E32" s="176">
        <v>1.8</v>
      </c>
      <c r="F32" s="207">
        <f t="shared" si="0"/>
        <v>24570</v>
      </c>
      <c r="G32" s="180"/>
      <c r="H32" s="180"/>
      <c r="I32" s="180"/>
      <c r="J32" s="180"/>
      <c r="K32" s="180"/>
      <c r="L32" s="180"/>
      <c r="M32" s="180"/>
    </row>
    <row r="33" spans="1:13" ht="150" customHeight="1" x14ac:dyDescent="0.25">
      <c r="A33" s="190">
        <v>14311</v>
      </c>
      <c r="B33" s="176"/>
      <c r="C33" s="175" t="s">
        <v>555</v>
      </c>
      <c r="D33" s="191">
        <v>13750</v>
      </c>
      <c r="E33" s="176">
        <v>1.8</v>
      </c>
      <c r="F33" s="207">
        <f t="shared" si="0"/>
        <v>24750</v>
      </c>
      <c r="G33" s="180"/>
      <c r="H33" s="180"/>
      <c r="I33" s="180"/>
      <c r="J33" s="180"/>
      <c r="K33" s="180"/>
      <c r="L33" s="180"/>
      <c r="M33" s="180"/>
    </row>
    <row r="34" spans="1:13" ht="169.5" customHeight="1" x14ac:dyDescent="0.25">
      <c r="A34" s="198">
        <v>24946</v>
      </c>
      <c r="B34" s="176"/>
      <c r="C34" s="175" t="s">
        <v>556</v>
      </c>
      <c r="D34" s="191">
        <v>9600</v>
      </c>
      <c r="E34" s="176">
        <v>1.8</v>
      </c>
      <c r="F34" s="207">
        <f t="shared" si="0"/>
        <v>17280</v>
      </c>
      <c r="G34" s="180"/>
      <c r="H34" s="180"/>
      <c r="I34" s="180"/>
      <c r="J34" s="180"/>
      <c r="K34" s="180"/>
      <c r="L34" s="180"/>
      <c r="M34" s="180"/>
    </row>
    <row r="35" spans="1:13" ht="169.5" customHeight="1" x14ac:dyDescent="0.25">
      <c r="A35" s="190">
        <v>29269</v>
      </c>
      <c r="B35" s="176"/>
      <c r="C35" s="201" t="s">
        <v>557</v>
      </c>
      <c r="D35" s="191">
        <v>20000</v>
      </c>
      <c r="E35" s="176">
        <v>1.8</v>
      </c>
      <c r="F35" s="207">
        <f t="shared" si="0"/>
        <v>36000</v>
      </c>
      <c r="G35" s="180"/>
      <c r="H35" s="180"/>
      <c r="I35" s="180"/>
      <c r="J35" s="180"/>
      <c r="K35" s="180"/>
      <c r="L35" s="180"/>
      <c r="M35" s="180"/>
    </row>
    <row r="36" spans="1:13" ht="169.5" customHeight="1" x14ac:dyDescent="0.25">
      <c r="A36" s="198">
        <v>32641</v>
      </c>
      <c r="B36" s="176"/>
      <c r="C36" s="201" t="s">
        <v>558</v>
      </c>
      <c r="D36" s="191">
        <v>13900</v>
      </c>
      <c r="E36" s="176">
        <v>1.8</v>
      </c>
      <c r="F36" s="207">
        <f t="shared" si="0"/>
        <v>25020</v>
      </c>
      <c r="G36" s="180"/>
      <c r="H36" s="180"/>
      <c r="I36" s="180"/>
      <c r="J36" s="180"/>
      <c r="K36" s="180"/>
      <c r="L36" s="180"/>
      <c r="M36" s="180"/>
    </row>
    <row r="37" spans="1:13" ht="140.25" customHeight="1" x14ac:dyDescent="0.25">
      <c r="A37" s="176">
        <v>21121</v>
      </c>
      <c r="B37" s="176"/>
      <c r="C37" s="175" t="s">
        <v>559</v>
      </c>
      <c r="D37" s="191">
        <v>5900</v>
      </c>
      <c r="E37" s="176">
        <v>1.8</v>
      </c>
      <c r="F37" s="207">
        <f t="shared" si="0"/>
        <v>10620</v>
      </c>
      <c r="G37" s="180"/>
      <c r="H37" s="180"/>
      <c r="I37" s="180"/>
      <c r="J37" s="180"/>
      <c r="K37" s="180"/>
      <c r="L37" s="180"/>
      <c r="M37" s="180"/>
    </row>
    <row r="38" spans="1:13" ht="140.25" customHeight="1" x14ac:dyDescent="0.25">
      <c r="A38" s="175" t="s">
        <v>560</v>
      </c>
      <c r="B38" s="199"/>
      <c r="C38" s="175" t="s">
        <v>561</v>
      </c>
      <c r="D38" s="191">
        <v>4000</v>
      </c>
      <c r="E38" s="176">
        <v>1.8</v>
      </c>
      <c r="F38" s="207">
        <f t="shared" si="0"/>
        <v>7200</v>
      </c>
      <c r="G38" s="180"/>
      <c r="H38" s="180"/>
      <c r="I38" s="180"/>
      <c r="J38" s="180"/>
      <c r="K38" s="180"/>
      <c r="L38" s="180"/>
      <c r="M38" s="180"/>
    </row>
    <row r="39" spans="1:13" x14ac:dyDescent="0.25">
      <c r="F39" s="174"/>
    </row>
  </sheetData>
  <mergeCells count="2">
    <mergeCell ref="A1:F1"/>
    <mergeCell ref="G1:I1"/>
  </mergeCells>
  <hyperlinks>
    <hyperlink ref="G1:I1" location="ОГЛАВЛЕНИЕ!A1" display="Вернуться к оглавлению" xr:uid="{AFD7CB52-DFD7-4CF2-9DCC-A8D30095960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D4C0F-84DC-4008-9131-22304A24B692}">
  <sheetPr codeName="Лист4">
    <tabColor rgb="FFFFC000"/>
  </sheetPr>
  <dimension ref="A1:K60"/>
  <sheetViews>
    <sheetView zoomScaleNormal="100" workbookViewId="0">
      <pane ySplit="2" topLeftCell="A3" activePane="bottomLeft" state="frozen"/>
      <selection activeCell="B4" sqref="B4"/>
      <selection pane="bottomLeft" activeCell="G1" sqref="G1:I1"/>
    </sheetView>
  </sheetViews>
  <sheetFormatPr defaultColWidth="9.140625" defaultRowHeight="15" x14ac:dyDescent="0.25"/>
  <cols>
    <col min="1" max="1" width="17.42578125" style="174" customWidth="1"/>
    <col min="2" max="2" width="41.85546875" style="174" customWidth="1"/>
    <col min="3" max="3" width="38.140625" style="174" customWidth="1"/>
    <col min="4" max="4" width="17.85546875" style="186" hidden="1" customWidth="1"/>
    <col min="5" max="5" width="17.85546875" style="209" hidden="1" customWidth="1"/>
    <col min="6" max="6" width="14.140625" style="174" customWidth="1"/>
    <col min="7" max="8" width="5.28515625" style="174" customWidth="1"/>
    <col min="9" max="9" width="13.42578125" style="174" customWidth="1"/>
    <col min="10" max="10" width="5.28515625" style="174" customWidth="1"/>
    <col min="11" max="26" width="13.7109375" style="174" customWidth="1"/>
    <col min="27" max="16384" width="9.140625" style="174"/>
  </cols>
  <sheetData>
    <row r="1" spans="1:9" ht="20.100000000000001" customHeight="1" x14ac:dyDescent="0.25">
      <c r="A1" s="380" t="s">
        <v>562</v>
      </c>
      <c r="B1" s="380"/>
      <c r="C1" s="380"/>
      <c r="D1" s="380"/>
      <c r="E1" s="380"/>
      <c r="F1" s="380"/>
      <c r="G1" s="378" t="s">
        <v>783</v>
      </c>
      <c r="H1" s="378"/>
      <c r="I1" s="378"/>
    </row>
    <row r="2" spans="1:9" ht="15" customHeight="1" x14ac:dyDescent="0.25">
      <c r="A2" s="188" t="s">
        <v>391</v>
      </c>
      <c r="B2" s="188" t="s">
        <v>392</v>
      </c>
      <c r="C2" s="188" t="s">
        <v>393</v>
      </c>
      <c r="D2" s="206" t="s">
        <v>394</v>
      </c>
      <c r="E2" s="210"/>
      <c r="F2" s="188" t="s">
        <v>781</v>
      </c>
    </row>
    <row r="3" spans="1:9" ht="164.25" customHeight="1" x14ac:dyDescent="0.25">
      <c r="A3" s="176">
        <v>49072</v>
      </c>
      <c r="B3" s="188"/>
      <c r="C3" s="202" t="s">
        <v>563</v>
      </c>
      <c r="D3" s="189">
        <v>10500</v>
      </c>
      <c r="E3" s="208">
        <v>1.8</v>
      </c>
      <c r="F3" s="211">
        <f>D3*E3</f>
        <v>18900</v>
      </c>
    </row>
    <row r="4" spans="1:9" ht="164.25" customHeight="1" x14ac:dyDescent="0.25">
      <c r="A4" s="176">
        <v>49073</v>
      </c>
      <c r="B4" s="188"/>
      <c r="C4" s="202" t="s">
        <v>564</v>
      </c>
      <c r="D4" s="189">
        <v>10500</v>
      </c>
      <c r="E4" s="208">
        <v>1.8</v>
      </c>
      <c r="F4" s="211">
        <f t="shared" ref="F4:F59" si="0">D4*E4</f>
        <v>18900</v>
      </c>
    </row>
    <row r="5" spans="1:9" ht="164.25" customHeight="1" x14ac:dyDescent="0.25">
      <c r="A5" s="176">
        <v>50136</v>
      </c>
      <c r="B5" s="183"/>
      <c r="C5" s="175" t="s">
        <v>565</v>
      </c>
      <c r="D5" s="203">
        <v>6300</v>
      </c>
      <c r="E5" s="208">
        <v>1.8</v>
      </c>
      <c r="F5" s="211">
        <f t="shared" si="0"/>
        <v>11340</v>
      </c>
    </row>
    <row r="6" spans="1:9" ht="164.25" customHeight="1" x14ac:dyDescent="0.25">
      <c r="A6" s="176">
        <v>49055</v>
      </c>
      <c r="B6" s="183"/>
      <c r="C6" s="175" t="s">
        <v>566</v>
      </c>
      <c r="D6" s="203">
        <v>6400</v>
      </c>
      <c r="E6" s="208">
        <v>1.8</v>
      </c>
      <c r="F6" s="211">
        <f t="shared" si="0"/>
        <v>11520</v>
      </c>
    </row>
    <row r="7" spans="1:9" ht="164.25" customHeight="1" x14ac:dyDescent="0.25">
      <c r="A7" s="176">
        <v>50135</v>
      </c>
      <c r="B7" s="183"/>
      <c r="C7" s="175" t="s">
        <v>567</v>
      </c>
      <c r="D7" s="203">
        <v>8800</v>
      </c>
      <c r="E7" s="208">
        <v>1.8</v>
      </c>
      <c r="F7" s="211">
        <f t="shared" si="0"/>
        <v>15840</v>
      </c>
    </row>
    <row r="8" spans="1:9" ht="164.25" customHeight="1" x14ac:dyDescent="0.25">
      <c r="A8" s="176">
        <v>49051</v>
      </c>
      <c r="B8" s="183"/>
      <c r="C8" s="175" t="s">
        <v>568</v>
      </c>
      <c r="D8" s="203">
        <v>8900</v>
      </c>
      <c r="E8" s="208">
        <v>1.8</v>
      </c>
      <c r="F8" s="211">
        <f t="shared" si="0"/>
        <v>16020</v>
      </c>
    </row>
    <row r="9" spans="1:9" ht="164.25" customHeight="1" x14ac:dyDescent="0.25">
      <c r="A9" s="176">
        <v>50133</v>
      </c>
      <c r="B9" s="183"/>
      <c r="C9" s="175" t="s">
        <v>569</v>
      </c>
      <c r="D9" s="203">
        <v>11300</v>
      </c>
      <c r="E9" s="208">
        <v>1.8</v>
      </c>
      <c r="F9" s="211">
        <f t="shared" si="0"/>
        <v>20340</v>
      </c>
    </row>
    <row r="10" spans="1:9" ht="164.25" customHeight="1" x14ac:dyDescent="0.25">
      <c r="A10" s="176">
        <v>49044</v>
      </c>
      <c r="B10" s="183"/>
      <c r="C10" s="175" t="s">
        <v>570</v>
      </c>
      <c r="D10" s="203">
        <v>11400</v>
      </c>
      <c r="E10" s="208">
        <v>1.8</v>
      </c>
      <c r="F10" s="211">
        <f t="shared" si="0"/>
        <v>20520</v>
      </c>
    </row>
    <row r="11" spans="1:9" ht="164.25" customHeight="1" x14ac:dyDescent="0.25">
      <c r="A11" s="176">
        <v>50131</v>
      </c>
      <c r="B11" s="183"/>
      <c r="C11" s="175" t="s">
        <v>571</v>
      </c>
      <c r="D11" s="203">
        <v>13800</v>
      </c>
      <c r="E11" s="208">
        <v>1.8</v>
      </c>
      <c r="F11" s="211">
        <f t="shared" si="0"/>
        <v>24840</v>
      </c>
    </row>
    <row r="12" spans="1:9" ht="164.25" customHeight="1" x14ac:dyDescent="0.25">
      <c r="A12" s="176">
        <v>49043</v>
      </c>
      <c r="B12" s="188"/>
      <c r="C12" s="202" t="s">
        <v>572</v>
      </c>
      <c r="D12" s="203">
        <v>13900</v>
      </c>
      <c r="E12" s="208">
        <v>1.8</v>
      </c>
      <c r="F12" s="211">
        <f t="shared" si="0"/>
        <v>25020</v>
      </c>
    </row>
    <row r="13" spans="1:9" ht="164.25" customHeight="1" x14ac:dyDescent="0.25">
      <c r="A13" s="176">
        <v>77291</v>
      </c>
      <c r="B13" s="188"/>
      <c r="C13" s="202" t="s">
        <v>573</v>
      </c>
      <c r="D13" s="203">
        <v>4800</v>
      </c>
      <c r="E13" s="208">
        <v>1.8</v>
      </c>
      <c r="F13" s="211">
        <f t="shared" si="0"/>
        <v>8640</v>
      </c>
    </row>
    <row r="14" spans="1:9" ht="164.25" customHeight="1" x14ac:dyDescent="0.25">
      <c r="A14" s="176">
        <v>77290</v>
      </c>
      <c r="B14" s="188"/>
      <c r="C14" s="202" t="s">
        <v>574</v>
      </c>
      <c r="D14" s="203">
        <v>4800</v>
      </c>
      <c r="E14" s="208">
        <v>1.8</v>
      </c>
      <c r="F14" s="211">
        <f t="shared" si="0"/>
        <v>8640</v>
      </c>
    </row>
    <row r="15" spans="1:9" ht="164.25" customHeight="1" x14ac:dyDescent="0.25">
      <c r="A15" s="176">
        <v>77285</v>
      </c>
      <c r="B15" s="188"/>
      <c r="C15" s="202" t="s">
        <v>575</v>
      </c>
      <c r="D15" s="203">
        <v>4800</v>
      </c>
      <c r="E15" s="208">
        <v>1.8</v>
      </c>
      <c r="F15" s="211">
        <f t="shared" si="0"/>
        <v>8640</v>
      </c>
    </row>
    <row r="16" spans="1:9" ht="164.25" customHeight="1" x14ac:dyDescent="0.25">
      <c r="A16" s="176">
        <v>77284</v>
      </c>
      <c r="B16" s="188"/>
      <c r="C16" s="202" t="s">
        <v>576</v>
      </c>
      <c r="D16" s="203">
        <v>8500</v>
      </c>
      <c r="E16" s="208">
        <v>1.8</v>
      </c>
      <c r="F16" s="211">
        <f t="shared" si="0"/>
        <v>15300</v>
      </c>
    </row>
    <row r="17" spans="1:11" ht="164.25" customHeight="1" x14ac:dyDescent="0.25">
      <c r="A17" s="176">
        <v>77283</v>
      </c>
      <c r="B17" s="188"/>
      <c r="C17" s="202" t="s">
        <v>577</v>
      </c>
      <c r="D17" s="203">
        <v>12000</v>
      </c>
      <c r="E17" s="208">
        <v>1.8</v>
      </c>
      <c r="F17" s="211">
        <f t="shared" si="0"/>
        <v>21600</v>
      </c>
    </row>
    <row r="18" spans="1:11" ht="164.25" customHeight="1" x14ac:dyDescent="0.25">
      <c r="A18" s="176">
        <v>77282</v>
      </c>
      <c r="B18" s="188"/>
      <c r="C18" s="202" t="s">
        <v>578</v>
      </c>
      <c r="D18" s="203">
        <v>15500</v>
      </c>
      <c r="E18" s="208">
        <v>1.8</v>
      </c>
      <c r="F18" s="211">
        <f t="shared" si="0"/>
        <v>27900</v>
      </c>
    </row>
    <row r="19" spans="1:11" ht="164.25" customHeight="1" x14ac:dyDescent="0.25">
      <c r="A19" s="176">
        <v>77281</v>
      </c>
      <c r="B19" s="188"/>
      <c r="C19" s="202" t="s">
        <v>579</v>
      </c>
      <c r="D19" s="203">
        <v>18900</v>
      </c>
      <c r="E19" s="208">
        <v>1.8</v>
      </c>
      <c r="F19" s="211">
        <f t="shared" si="0"/>
        <v>34020</v>
      </c>
    </row>
    <row r="20" spans="1:11" ht="177" customHeight="1" x14ac:dyDescent="0.25">
      <c r="A20" s="198">
        <v>49023</v>
      </c>
      <c r="B20" s="176"/>
      <c r="C20" s="202" t="s">
        <v>580</v>
      </c>
      <c r="D20" s="191">
        <v>3400</v>
      </c>
      <c r="E20" s="208">
        <v>1.8</v>
      </c>
      <c r="F20" s="211">
        <f t="shared" si="0"/>
        <v>6120</v>
      </c>
    </row>
    <row r="21" spans="1:11" ht="185.25" customHeight="1" x14ac:dyDescent="0.25">
      <c r="A21" s="190" t="s">
        <v>581</v>
      </c>
      <c r="B21" s="176"/>
      <c r="C21" s="202" t="s">
        <v>582</v>
      </c>
      <c r="D21" s="191">
        <v>3500</v>
      </c>
      <c r="E21" s="208">
        <v>1.8</v>
      </c>
      <c r="F21" s="211">
        <f t="shared" si="0"/>
        <v>6300</v>
      </c>
      <c r="G21" s="180"/>
      <c r="H21" s="180"/>
      <c r="I21" s="180"/>
      <c r="J21" s="180"/>
      <c r="K21" s="180"/>
    </row>
    <row r="22" spans="1:11" ht="162" customHeight="1" x14ac:dyDescent="0.25">
      <c r="A22" s="176">
        <v>48979</v>
      </c>
      <c r="B22" s="176"/>
      <c r="C22" s="202" t="s">
        <v>583</v>
      </c>
      <c r="D22" s="189">
        <v>5800</v>
      </c>
      <c r="E22" s="208">
        <v>1.8</v>
      </c>
      <c r="F22" s="211">
        <f t="shared" si="0"/>
        <v>10440</v>
      </c>
      <c r="G22" s="180"/>
      <c r="H22" s="180"/>
      <c r="I22" s="180"/>
      <c r="J22" s="180"/>
      <c r="K22" s="180"/>
    </row>
    <row r="23" spans="1:11" ht="162" customHeight="1" x14ac:dyDescent="0.25">
      <c r="A23" s="176">
        <v>48978</v>
      </c>
      <c r="B23" s="176"/>
      <c r="C23" s="202" t="s">
        <v>584</v>
      </c>
      <c r="D23" s="204">
        <v>5900</v>
      </c>
      <c r="E23" s="208">
        <v>1.8</v>
      </c>
      <c r="F23" s="211">
        <f t="shared" si="0"/>
        <v>10620</v>
      </c>
      <c r="G23" s="180"/>
      <c r="H23" s="180"/>
      <c r="I23" s="180"/>
      <c r="J23" s="180"/>
      <c r="K23" s="180"/>
    </row>
    <row r="24" spans="1:11" ht="183.75" customHeight="1" x14ac:dyDescent="0.25">
      <c r="A24" s="198">
        <v>49026</v>
      </c>
      <c r="B24" s="176"/>
      <c r="C24" s="202" t="s">
        <v>585</v>
      </c>
      <c r="D24" s="191">
        <v>5800</v>
      </c>
      <c r="E24" s="208">
        <v>1.8</v>
      </c>
      <c r="F24" s="211">
        <f t="shared" si="0"/>
        <v>10440</v>
      </c>
      <c r="G24" s="180"/>
      <c r="H24" s="180"/>
      <c r="I24" s="180"/>
      <c r="J24" s="180"/>
      <c r="K24" s="180"/>
    </row>
    <row r="25" spans="1:11" ht="183.75" customHeight="1" x14ac:dyDescent="0.25">
      <c r="A25" s="190" t="s">
        <v>586</v>
      </c>
      <c r="B25" s="176"/>
      <c r="C25" s="202" t="s">
        <v>587</v>
      </c>
      <c r="D25" s="191">
        <v>5900</v>
      </c>
      <c r="E25" s="208">
        <v>1.8</v>
      </c>
      <c r="F25" s="211">
        <f t="shared" si="0"/>
        <v>10620</v>
      </c>
      <c r="G25" s="180"/>
      <c r="H25" s="180"/>
      <c r="I25" s="180"/>
      <c r="J25" s="180"/>
      <c r="K25" s="180"/>
    </row>
    <row r="26" spans="1:11" ht="165" customHeight="1" x14ac:dyDescent="0.25">
      <c r="A26" s="198">
        <v>48943</v>
      </c>
      <c r="B26" s="176"/>
      <c r="C26" s="202" t="s">
        <v>588</v>
      </c>
      <c r="D26" s="191">
        <v>8100</v>
      </c>
      <c r="E26" s="208">
        <v>1.8</v>
      </c>
      <c r="F26" s="211">
        <f t="shared" si="0"/>
        <v>14580</v>
      </c>
      <c r="G26" s="180"/>
      <c r="H26" s="180"/>
      <c r="I26" s="180"/>
      <c r="J26" s="180"/>
      <c r="K26" s="180"/>
    </row>
    <row r="27" spans="1:11" ht="177" customHeight="1" x14ac:dyDescent="0.25">
      <c r="A27" s="198">
        <v>48918</v>
      </c>
      <c r="B27" s="176"/>
      <c r="C27" s="202" t="s">
        <v>589</v>
      </c>
      <c r="D27" s="191">
        <v>8200</v>
      </c>
      <c r="E27" s="208">
        <v>1.8</v>
      </c>
      <c r="F27" s="211">
        <f t="shared" si="0"/>
        <v>14760</v>
      </c>
      <c r="G27" s="180"/>
      <c r="H27" s="180"/>
      <c r="I27" s="180"/>
      <c r="J27" s="180"/>
      <c r="K27" s="180"/>
    </row>
    <row r="28" spans="1:11" ht="154.5" customHeight="1" x14ac:dyDescent="0.25">
      <c r="A28" s="198">
        <v>49029</v>
      </c>
      <c r="B28" s="176"/>
      <c r="C28" s="202" t="s">
        <v>590</v>
      </c>
      <c r="D28" s="191">
        <v>8100</v>
      </c>
      <c r="E28" s="208">
        <v>1.8</v>
      </c>
      <c r="F28" s="211">
        <f t="shared" si="0"/>
        <v>14580</v>
      </c>
      <c r="G28" s="180"/>
      <c r="H28" s="180"/>
      <c r="I28" s="180"/>
      <c r="J28" s="180"/>
      <c r="K28" s="180"/>
    </row>
    <row r="29" spans="1:11" ht="153.75" customHeight="1" x14ac:dyDescent="0.25">
      <c r="A29" s="190" t="s">
        <v>591</v>
      </c>
      <c r="B29" s="176"/>
      <c r="C29" s="202" t="s">
        <v>592</v>
      </c>
      <c r="D29" s="191">
        <v>8200</v>
      </c>
      <c r="E29" s="208">
        <v>1.8</v>
      </c>
      <c r="F29" s="211">
        <f t="shared" si="0"/>
        <v>14760</v>
      </c>
      <c r="G29" s="180"/>
      <c r="H29" s="180"/>
      <c r="I29" s="180"/>
      <c r="J29" s="180"/>
      <c r="K29" s="180"/>
    </row>
    <row r="30" spans="1:11" ht="142.5" customHeight="1" x14ac:dyDescent="0.25">
      <c r="A30" s="198">
        <v>48900</v>
      </c>
      <c r="B30" s="176"/>
      <c r="C30" s="202" t="s">
        <v>593</v>
      </c>
      <c r="D30" s="191">
        <v>10300</v>
      </c>
      <c r="E30" s="208">
        <v>1.8</v>
      </c>
      <c r="F30" s="211">
        <f t="shared" si="0"/>
        <v>18540</v>
      </c>
      <c r="G30" s="180"/>
      <c r="H30" s="180"/>
      <c r="I30" s="180"/>
      <c r="J30" s="180"/>
      <c r="K30" s="180"/>
    </row>
    <row r="31" spans="1:11" ht="139.5" customHeight="1" x14ac:dyDescent="0.25">
      <c r="A31" s="190" t="s">
        <v>594</v>
      </c>
      <c r="B31" s="176"/>
      <c r="C31" s="202" t="s">
        <v>595</v>
      </c>
      <c r="D31" s="191">
        <v>10400</v>
      </c>
      <c r="E31" s="208">
        <v>1.8</v>
      </c>
      <c r="F31" s="211">
        <f t="shared" si="0"/>
        <v>18720</v>
      </c>
      <c r="G31" s="180"/>
      <c r="H31" s="180"/>
      <c r="I31" s="180"/>
      <c r="J31" s="180"/>
      <c r="K31" s="180"/>
    </row>
    <row r="32" spans="1:11" ht="139.5" customHeight="1" x14ac:dyDescent="0.25">
      <c r="A32" s="198">
        <v>49032</v>
      </c>
      <c r="B32" s="176"/>
      <c r="C32" s="202" t="s">
        <v>596</v>
      </c>
      <c r="D32" s="191">
        <v>10300</v>
      </c>
      <c r="E32" s="208">
        <v>1.8</v>
      </c>
      <c r="F32" s="211">
        <f t="shared" si="0"/>
        <v>18540</v>
      </c>
      <c r="G32" s="180"/>
      <c r="H32" s="180"/>
      <c r="I32" s="180"/>
      <c r="J32" s="180"/>
      <c r="K32" s="180"/>
    </row>
    <row r="33" spans="1:11" ht="139.5" customHeight="1" x14ac:dyDescent="0.25">
      <c r="A33" s="198">
        <v>49033</v>
      </c>
      <c r="B33" s="176"/>
      <c r="C33" s="202" t="s">
        <v>597</v>
      </c>
      <c r="D33" s="191">
        <v>10400</v>
      </c>
      <c r="E33" s="208">
        <v>1.8</v>
      </c>
      <c r="F33" s="211">
        <f t="shared" si="0"/>
        <v>18720</v>
      </c>
      <c r="G33" s="180"/>
      <c r="H33" s="180"/>
      <c r="I33" s="180"/>
      <c r="J33" s="180"/>
      <c r="K33" s="180"/>
    </row>
    <row r="34" spans="1:11" ht="153" customHeight="1" x14ac:dyDescent="0.25">
      <c r="A34" s="198">
        <v>48839</v>
      </c>
      <c r="B34" s="176"/>
      <c r="C34" s="202" t="s">
        <v>598</v>
      </c>
      <c r="D34" s="191">
        <v>12800</v>
      </c>
      <c r="E34" s="208">
        <v>1.8</v>
      </c>
      <c r="F34" s="211">
        <f t="shared" si="0"/>
        <v>23040</v>
      </c>
      <c r="G34" s="180"/>
      <c r="H34" s="180"/>
      <c r="I34" s="180"/>
      <c r="J34" s="180"/>
      <c r="K34" s="180"/>
    </row>
    <row r="35" spans="1:11" ht="153" customHeight="1" x14ac:dyDescent="0.25">
      <c r="A35" s="190" t="s">
        <v>599</v>
      </c>
      <c r="B35" s="176"/>
      <c r="C35" s="202" t="s">
        <v>600</v>
      </c>
      <c r="D35" s="191">
        <v>12900</v>
      </c>
      <c r="E35" s="208">
        <v>1.8</v>
      </c>
      <c r="F35" s="211">
        <f t="shared" si="0"/>
        <v>23220</v>
      </c>
      <c r="G35" s="180"/>
      <c r="H35" s="180"/>
      <c r="I35" s="180"/>
      <c r="J35" s="180"/>
      <c r="K35" s="180"/>
    </row>
    <row r="36" spans="1:11" ht="139.5" customHeight="1" x14ac:dyDescent="0.25">
      <c r="A36" s="198">
        <v>49034</v>
      </c>
      <c r="B36" s="176"/>
      <c r="C36" s="202" t="s">
        <v>601</v>
      </c>
      <c r="D36" s="191">
        <v>12800</v>
      </c>
      <c r="E36" s="208">
        <v>1.8</v>
      </c>
      <c r="F36" s="211">
        <f t="shared" si="0"/>
        <v>23040</v>
      </c>
      <c r="G36" s="180"/>
      <c r="H36" s="180"/>
      <c r="I36" s="180"/>
      <c r="J36" s="180"/>
      <c r="K36" s="180"/>
    </row>
    <row r="37" spans="1:11" ht="139.5" customHeight="1" x14ac:dyDescent="0.25">
      <c r="A37" s="190" t="s">
        <v>602</v>
      </c>
      <c r="B37" s="176"/>
      <c r="C37" s="202" t="s">
        <v>603</v>
      </c>
      <c r="D37" s="191">
        <v>12900</v>
      </c>
      <c r="E37" s="208">
        <v>1.8</v>
      </c>
      <c r="F37" s="211">
        <f t="shared" si="0"/>
        <v>23220</v>
      </c>
      <c r="G37" s="180"/>
      <c r="H37" s="180"/>
      <c r="I37" s="180"/>
      <c r="J37" s="180"/>
      <c r="K37" s="180"/>
    </row>
    <row r="38" spans="1:11" ht="139.5" customHeight="1" x14ac:dyDescent="0.25">
      <c r="A38" s="198">
        <v>48800</v>
      </c>
      <c r="B38" s="176"/>
      <c r="C38" s="202" t="s">
        <v>604</v>
      </c>
      <c r="D38" s="191">
        <v>5350</v>
      </c>
      <c r="E38" s="208">
        <v>1.8</v>
      </c>
      <c r="F38" s="211">
        <f t="shared" si="0"/>
        <v>9630</v>
      </c>
      <c r="G38" s="180"/>
      <c r="H38" s="180"/>
      <c r="I38" s="180"/>
      <c r="J38" s="180"/>
      <c r="K38" s="180"/>
    </row>
    <row r="39" spans="1:11" ht="139.5" customHeight="1" x14ac:dyDescent="0.25">
      <c r="A39" s="198">
        <v>48799</v>
      </c>
      <c r="B39" s="176"/>
      <c r="C39" s="202" t="s">
        <v>605</v>
      </c>
      <c r="D39" s="191">
        <v>7300</v>
      </c>
      <c r="E39" s="208">
        <v>1.8</v>
      </c>
      <c r="F39" s="211">
        <f t="shared" si="0"/>
        <v>13140</v>
      </c>
      <c r="G39" s="180"/>
      <c r="H39" s="180"/>
      <c r="I39" s="180"/>
      <c r="J39" s="180"/>
      <c r="K39" s="180"/>
    </row>
    <row r="40" spans="1:11" ht="169.5" customHeight="1" x14ac:dyDescent="0.25">
      <c r="A40" s="198">
        <v>48798</v>
      </c>
      <c r="B40" s="176"/>
      <c r="C40" s="202" t="s">
        <v>606</v>
      </c>
      <c r="D40" s="191">
        <v>9400</v>
      </c>
      <c r="E40" s="208">
        <v>1.8</v>
      </c>
      <c r="F40" s="211">
        <f t="shared" si="0"/>
        <v>16920</v>
      </c>
      <c r="G40" s="180"/>
      <c r="H40" s="180"/>
      <c r="I40" s="180"/>
      <c r="J40" s="180"/>
      <c r="K40" s="180"/>
    </row>
    <row r="41" spans="1:11" ht="139.5" customHeight="1" x14ac:dyDescent="0.25">
      <c r="A41" s="176">
        <v>48793</v>
      </c>
      <c r="B41" s="176"/>
      <c r="C41" s="202" t="s">
        <v>607</v>
      </c>
      <c r="D41" s="191">
        <v>1600</v>
      </c>
      <c r="E41" s="208">
        <v>1.8</v>
      </c>
      <c r="F41" s="211">
        <f t="shared" si="0"/>
        <v>2880</v>
      </c>
      <c r="G41" s="180"/>
      <c r="H41" s="180"/>
      <c r="I41" s="180"/>
      <c r="J41" s="180"/>
      <c r="K41" s="180"/>
    </row>
    <row r="42" spans="1:11" ht="139.5" customHeight="1" x14ac:dyDescent="0.25">
      <c r="A42" s="175" t="s">
        <v>608</v>
      </c>
      <c r="B42" s="176"/>
      <c r="C42" s="202" t="s">
        <v>609</v>
      </c>
      <c r="D42" s="191">
        <v>1700</v>
      </c>
      <c r="E42" s="208">
        <v>1.8</v>
      </c>
      <c r="F42" s="211">
        <f t="shared" si="0"/>
        <v>3060</v>
      </c>
      <c r="G42" s="180"/>
      <c r="H42" s="180"/>
      <c r="I42" s="180"/>
      <c r="J42" s="180"/>
      <c r="K42" s="180"/>
    </row>
    <row r="43" spans="1:11" ht="139.5" customHeight="1" x14ac:dyDescent="0.25">
      <c r="A43" s="176">
        <v>48785</v>
      </c>
      <c r="B43" s="176"/>
      <c r="C43" s="202" t="s">
        <v>610</v>
      </c>
      <c r="D43" s="191">
        <v>2050</v>
      </c>
      <c r="E43" s="208">
        <v>1.8</v>
      </c>
      <c r="F43" s="211">
        <f t="shared" si="0"/>
        <v>3690</v>
      </c>
      <c r="G43" s="180"/>
      <c r="H43" s="180"/>
      <c r="I43" s="180"/>
      <c r="J43" s="180"/>
      <c r="K43" s="180"/>
    </row>
    <row r="44" spans="1:11" ht="139.5" customHeight="1" x14ac:dyDescent="0.25">
      <c r="A44" s="175" t="s">
        <v>611</v>
      </c>
      <c r="B44" s="176"/>
      <c r="C44" s="202" t="s">
        <v>612</v>
      </c>
      <c r="D44" s="191">
        <v>2150</v>
      </c>
      <c r="E44" s="208">
        <v>1.8</v>
      </c>
      <c r="F44" s="211">
        <f t="shared" si="0"/>
        <v>3870</v>
      </c>
      <c r="G44" s="180"/>
      <c r="H44" s="180"/>
      <c r="I44" s="180"/>
      <c r="J44" s="180"/>
      <c r="K44" s="180"/>
    </row>
    <row r="45" spans="1:11" ht="159.75" customHeight="1" x14ac:dyDescent="0.25">
      <c r="A45" s="176">
        <v>48796</v>
      </c>
      <c r="B45" s="176"/>
      <c r="C45" s="202" t="s">
        <v>613</v>
      </c>
      <c r="D45" s="191">
        <v>2950</v>
      </c>
      <c r="E45" s="208">
        <v>1.8</v>
      </c>
      <c r="F45" s="211">
        <f t="shared" si="0"/>
        <v>5310</v>
      </c>
      <c r="G45" s="180"/>
      <c r="H45" s="180"/>
      <c r="I45" s="180"/>
      <c r="J45" s="180"/>
      <c r="K45" s="180"/>
    </row>
    <row r="46" spans="1:11" ht="159.75" customHeight="1" x14ac:dyDescent="0.25">
      <c r="A46" s="176">
        <v>29009</v>
      </c>
      <c r="B46" s="176"/>
      <c r="C46" s="202" t="s">
        <v>614</v>
      </c>
      <c r="D46" s="191">
        <v>3050</v>
      </c>
      <c r="E46" s="208">
        <v>1.8</v>
      </c>
      <c r="F46" s="211">
        <f t="shared" si="0"/>
        <v>5490</v>
      </c>
      <c r="G46" s="180"/>
      <c r="H46" s="180"/>
      <c r="I46" s="180"/>
      <c r="J46" s="180"/>
      <c r="K46" s="180"/>
    </row>
    <row r="47" spans="1:11" ht="139.5" customHeight="1" x14ac:dyDescent="0.25">
      <c r="A47" s="176">
        <v>48792</v>
      </c>
      <c r="B47" s="176"/>
      <c r="C47" s="202" t="s">
        <v>615</v>
      </c>
      <c r="D47" s="191">
        <v>1900</v>
      </c>
      <c r="E47" s="208">
        <v>1.8</v>
      </c>
      <c r="F47" s="211">
        <f t="shared" si="0"/>
        <v>3420</v>
      </c>
      <c r="G47" s="180"/>
      <c r="H47" s="180"/>
      <c r="I47" s="180"/>
      <c r="J47" s="180"/>
      <c r="K47" s="180"/>
    </row>
    <row r="48" spans="1:11" ht="139.5" customHeight="1" x14ac:dyDescent="0.25">
      <c r="A48" s="176">
        <v>29012</v>
      </c>
      <c r="B48" s="176"/>
      <c r="C48" s="202" t="s">
        <v>616</v>
      </c>
      <c r="D48" s="191">
        <v>2000</v>
      </c>
      <c r="E48" s="208">
        <v>1.8</v>
      </c>
      <c r="F48" s="211">
        <f t="shared" si="0"/>
        <v>3600</v>
      </c>
      <c r="G48" s="180"/>
      <c r="H48" s="180"/>
      <c r="I48" s="180"/>
      <c r="J48" s="180"/>
      <c r="K48" s="180"/>
    </row>
    <row r="49" spans="1:11" ht="139.5" customHeight="1" x14ac:dyDescent="0.25">
      <c r="A49" s="176">
        <v>48784</v>
      </c>
      <c r="B49" s="176"/>
      <c r="C49" s="202" t="s">
        <v>617</v>
      </c>
      <c r="D49" s="191">
        <v>2450</v>
      </c>
      <c r="E49" s="208">
        <v>1.8</v>
      </c>
      <c r="F49" s="211">
        <f t="shared" si="0"/>
        <v>4410</v>
      </c>
      <c r="G49" s="180"/>
      <c r="H49" s="180"/>
      <c r="I49" s="180"/>
      <c r="J49" s="180"/>
      <c r="K49" s="180"/>
    </row>
    <row r="50" spans="1:11" ht="139.5" customHeight="1" x14ac:dyDescent="0.25">
      <c r="A50" s="176">
        <v>29014</v>
      </c>
      <c r="B50" s="176"/>
      <c r="C50" s="202" t="s">
        <v>618</v>
      </c>
      <c r="D50" s="191">
        <v>2550</v>
      </c>
      <c r="E50" s="208">
        <v>1.8</v>
      </c>
      <c r="F50" s="211">
        <f t="shared" si="0"/>
        <v>4590</v>
      </c>
      <c r="G50" s="180"/>
      <c r="H50" s="180"/>
      <c r="I50" s="180"/>
      <c r="J50" s="180"/>
      <c r="K50" s="180"/>
    </row>
    <row r="51" spans="1:11" ht="139.5" customHeight="1" x14ac:dyDescent="0.25">
      <c r="A51" s="176">
        <v>48795</v>
      </c>
      <c r="B51" s="176"/>
      <c r="C51" s="202" t="s">
        <v>619</v>
      </c>
      <c r="D51" s="191">
        <v>3650</v>
      </c>
      <c r="E51" s="208">
        <v>1.8</v>
      </c>
      <c r="F51" s="211">
        <f t="shared" si="0"/>
        <v>6570</v>
      </c>
      <c r="G51" s="180"/>
      <c r="H51" s="180"/>
      <c r="I51" s="180"/>
      <c r="J51" s="180"/>
      <c r="K51" s="180"/>
    </row>
    <row r="52" spans="1:11" ht="139.5" customHeight="1" x14ac:dyDescent="0.25">
      <c r="A52" s="176">
        <v>29016</v>
      </c>
      <c r="B52" s="176"/>
      <c r="C52" s="202" t="s">
        <v>620</v>
      </c>
      <c r="D52" s="191">
        <v>3750</v>
      </c>
      <c r="E52" s="208">
        <v>1.8</v>
      </c>
      <c r="F52" s="211">
        <f t="shared" si="0"/>
        <v>6750</v>
      </c>
      <c r="G52" s="180"/>
      <c r="H52" s="180"/>
      <c r="I52" s="180"/>
      <c r="J52" s="180"/>
      <c r="K52" s="180"/>
    </row>
    <row r="53" spans="1:11" ht="139.5" customHeight="1" x14ac:dyDescent="0.25">
      <c r="A53" s="176">
        <v>48791</v>
      </c>
      <c r="B53" s="176"/>
      <c r="C53" s="202" t="s">
        <v>621</v>
      </c>
      <c r="D53" s="191">
        <v>2300</v>
      </c>
      <c r="E53" s="208">
        <v>1.8</v>
      </c>
      <c r="F53" s="211">
        <f t="shared" si="0"/>
        <v>4140</v>
      </c>
      <c r="G53" s="180"/>
      <c r="H53" s="180"/>
      <c r="I53" s="180"/>
      <c r="J53" s="180"/>
      <c r="K53" s="180"/>
    </row>
    <row r="54" spans="1:11" ht="139.5" customHeight="1" x14ac:dyDescent="0.25">
      <c r="A54" s="175" t="s">
        <v>622</v>
      </c>
      <c r="B54" s="176"/>
      <c r="C54" s="202" t="s">
        <v>623</v>
      </c>
      <c r="D54" s="191">
        <v>2400</v>
      </c>
      <c r="E54" s="208">
        <v>1.8</v>
      </c>
      <c r="F54" s="211">
        <f t="shared" si="0"/>
        <v>4320</v>
      </c>
      <c r="G54" s="180"/>
      <c r="H54" s="180"/>
      <c r="I54" s="180"/>
      <c r="J54" s="180"/>
      <c r="K54" s="180"/>
    </row>
    <row r="55" spans="1:11" ht="139.5" customHeight="1" x14ac:dyDescent="0.25">
      <c r="A55" s="176">
        <v>48783</v>
      </c>
      <c r="B55" s="176"/>
      <c r="C55" s="202" t="s">
        <v>624</v>
      </c>
      <c r="D55" s="191">
        <v>2850</v>
      </c>
      <c r="E55" s="208">
        <v>1.8</v>
      </c>
      <c r="F55" s="211">
        <f t="shared" si="0"/>
        <v>5130</v>
      </c>
      <c r="G55" s="180"/>
      <c r="H55" s="180"/>
      <c r="I55" s="180"/>
      <c r="J55" s="180"/>
      <c r="K55" s="180"/>
    </row>
    <row r="56" spans="1:11" ht="139.5" customHeight="1" x14ac:dyDescent="0.25">
      <c r="A56" s="175" t="s">
        <v>625</v>
      </c>
      <c r="B56" s="176"/>
      <c r="C56" s="202" t="s">
        <v>626</v>
      </c>
      <c r="D56" s="191">
        <v>2950</v>
      </c>
      <c r="E56" s="208">
        <v>1.8</v>
      </c>
      <c r="F56" s="211">
        <f t="shared" si="0"/>
        <v>5310</v>
      </c>
      <c r="G56" s="180"/>
      <c r="H56" s="180"/>
      <c r="I56" s="180"/>
      <c r="J56" s="180"/>
      <c r="K56" s="180"/>
    </row>
    <row r="57" spans="1:11" ht="139.5" customHeight="1" x14ac:dyDescent="0.25">
      <c r="A57" s="176">
        <v>48794</v>
      </c>
      <c r="B57" s="176"/>
      <c r="C57" s="202" t="s">
        <v>627</v>
      </c>
      <c r="D57" s="191">
        <v>4200</v>
      </c>
      <c r="E57" s="208">
        <v>1.8</v>
      </c>
      <c r="F57" s="211">
        <f t="shared" si="0"/>
        <v>7560</v>
      </c>
      <c r="G57" s="180"/>
      <c r="H57" s="180"/>
      <c r="I57" s="180"/>
      <c r="J57" s="180"/>
      <c r="K57" s="180"/>
    </row>
    <row r="58" spans="1:11" ht="139.5" customHeight="1" x14ac:dyDescent="0.25">
      <c r="A58" s="175" t="s">
        <v>628</v>
      </c>
      <c r="B58" s="176"/>
      <c r="C58" s="202" t="s">
        <v>629</v>
      </c>
      <c r="D58" s="191">
        <v>4300</v>
      </c>
      <c r="E58" s="208">
        <v>1.8</v>
      </c>
      <c r="F58" s="211">
        <f t="shared" si="0"/>
        <v>7740</v>
      </c>
      <c r="G58" s="180"/>
      <c r="H58" s="180"/>
      <c r="I58" s="180"/>
      <c r="J58" s="180"/>
      <c r="K58" s="180"/>
    </row>
    <row r="59" spans="1:11" ht="140.25" customHeight="1" x14ac:dyDescent="0.25">
      <c r="A59" s="176">
        <v>23650</v>
      </c>
      <c r="B59" s="176"/>
      <c r="C59" s="202" t="s">
        <v>630</v>
      </c>
      <c r="D59" s="189">
        <v>14700</v>
      </c>
      <c r="E59" s="208">
        <v>1.8</v>
      </c>
      <c r="F59" s="211">
        <f t="shared" si="0"/>
        <v>26460</v>
      </c>
      <c r="G59" s="180"/>
      <c r="H59" s="180"/>
      <c r="I59" s="180"/>
      <c r="J59" s="180"/>
      <c r="K59" s="180"/>
    </row>
    <row r="60" spans="1:11" x14ac:dyDescent="0.25">
      <c r="G60" s="180"/>
      <c r="H60" s="180"/>
      <c r="I60" s="180"/>
      <c r="J60" s="180"/>
      <c r="K60" s="180"/>
    </row>
  </sheetData>
  <mergeCells count="2">
    <mergeCell ref="A1:F1"/>
    <mergeCell ref="G1:I1"/>
  </mergeCells>
  <hyperlinks>
    <hyperlink ref="G1:I1" location="ОГЛАВЛЕНИЕ!A1" display="Вернуться к оглавлению" xr:uid="{3867393E-A75A-4D1B-975F-216E3403F26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12</vt:i4>
      </vt:variant>
    </vt:vector>
  </HeadingPairs>
  <TitlesOfParts>
    <vt:vector size="26" baseType="lpstr">
      <vt:lpstr>ОГЛАВЛЕНИЕ</vt:lpstr>
      <vt:lpstr>Детский сад1</vt:lpstr>
      <vt:lpstr>Детский сад2</vt:lpstr>
      <vt:lpstr>Стеллажи детские</vt:lpstr>
      <vt:lpstr>Модульная1</vt:lpstr>
      <vt:lpstr>Модульная2</vt:lpstr>
      <vt:lpstr>Стулья</vt:lpstr>
      <vt:lpstr>Столы</vt:lpstr>
      <vt:lpstr>Шкафы</vt:lpstr>
      <vt:lpstr>Скамьи</vt:lpstr>
      <vt:lpstr>Кровати и тумбы</vt:lpstr>
      <vt:lpstr>Стенки и стеллажи</vt:lpstr>
      <vt:lpstr>Игровая мебель</vt:lpstr>
      <vt:lpstr>Композиции</vt:lpstr>
      <vt:lpstr>'Игровая мебель'!Заголовки_для_печати</vt:lpstr>
      <vt:lpstr>'Кровати и тумбы'!Заголовки_для_печати</vt:lpstr>
      <vt:lpstr>Скамьи!Заголовки_для_печати</vt:lpstr>
      <vt:lpstr>'Стенки и стеллажи'!Заголовки_для_печати</vt:lpstr>
      <vt:lpstr>Столы!Заголовки_для_печати</vt:lpstr>
      <vt:lpstr>Стулья!Заголовки_для_печати</vt:lpstr>
      <vt:lpstr>Шкафы!Заголовки_для_печати</vt:lpstr>
      <vt:lpstr>'Детский сад1'!Область_печати</vt:lpstr>
      <vt:lpstr>'Детский сад2'!Область_печати</vt:lpstr>
      <vt:lpstr>Модульная1!Область_печати</vt:lpstr>
      <vt:lpstr>Модульная2!Область_печати</vt:lpstr>
      <vt:lpstr>'Стеллажи детские'!Область_печати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Степан Шестаков</dc:creator>
  <cp:lastModifiedBy>Степан Шестаков</cp:lastModifiedBy>
  <cp:lastPrinted>2023-11-22T05:03:08Z</cp:lastPrinted>
  <dcterms:created xsi:type="dcterms:W3CDTF">2015-06-05T18:17:20Z</dcterms:created>
  <dcterms:modified xsi:type="dcterms:W3CDTF">2024-05-02T08:47:39Z</dcterms:modified>
</cp:coreProperties>
</file>