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Z:\2. Прайс-листы\"/>
    </mc:Choice>
  </mc:AlternateContent>
  <xr:revisionPtr revIDLastSave="0" documentId="13_ncr:1_{3E103FDD-8958-45E8-B68D-318F30FD5CD2}" xr6:coauthVersionLast="47" xr6:coauthVersionMax="47" xr10:uidLastSave="{00000000-0000-0000-0000-000000000000}"/>
  <bookViews>
    <workbookView xWindow="-120" yWindow="-120" windowWidth="29040" windowHeight="15720" tabRatio="800" xr2:uid="{00000000-000D-0000-FFFF-FFFF00000000}"/>
  </bookViews>
  <sheets>
    <sheet name="ОГЛАВЛЕНИЕ" sheetId="2" r:id="rId1"/>
    <sheet name="Школьная мебель" sheetId="5" r:id="rId2"/>
    <sheet name="Серия &quot;Бюджет&quot;" sheetId="3" r:id="rId3"/>
    <sheet name="Серия &quot;Эталон&quot;" sheetId="20" r:id="rId4"/>
    <sheet name="Серия &quot;Оптима&quot;" sheetId="24" r:id="rId5"/>
    <sheet name="Шкафы" sheetId="9" r:id="rId6"/>
    <sheet name="Модульные системы хранения" sheetId="23" r:id="rId7"/>
    <sheet name="Столы письменные" sheetId="11" r:id="rId8"/>
    <sheet name="Тумбы" sheetId="12" r:id="rId9"/>
    <sheet name="Библиотека" sheetId="13" r:id="rId10"/>
    <sheet name="Доски школьные" sheetId="16" r:id="rId11"/>
    <sheet name="Группы роста" sheetId="15" r:id="rId12"/>
  </sheets>
  <definedNames>
    <definedName name="_xlnm.Print_Area" localSheetId="9">Библиотека!$A$1:$BS$101</definedName>
    <definedName name="_xlnm.Print_Area" localSheetId="7">'Столы письменные'!$A$1:$BR$94</definedName>
    <definedName name="_xlnm.Print_Area" localSheetId="8">Тумбы!$A$1:$BR$92</definedName>
    <definedName name="_xlnm.Print_Area" localSheetId="5">Шкафы!$A$3:$BR$93</definedName>
    <definedName name="_xlnm.Print_Area" localSheetId="1">'Школьная мебель'!$A$3:$BN$127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7" i="5" l="1"/>
  <c r="AZ17" i="5"/>
  <c r="AZ16" i="5"/>
  <c r="AO17" i="5"/>
  <c r="S16" i="5"/>
  <c r="H18" i="3" l="1"/>
  <c r="E24" i="24"/>
  <c r="E23" i="24"/>
  <c r="E22" i="24"/>
  <c r="E21" i="24"/>
  <c r="E19" i="24"/>
  <c r="E20" i="24"/>
  <c r="E18" i="24"/>
  <c r="E17" i="24"/>
  <c r="E16" i="24"/>
  <c r="E15" i="24"/>
  <c r="E14" i="24"/>
  <c r="E13" i="24"/>
  <c r="E12" i="24"/>
  <c r="E11" i="24"/>
  <c r="E10" i="24"/>
  <c r="E8" i="24"/>
  <c r="E9" i="24"/>
  <c r="E7" i="24"/>
  <c r="E6" i="24"/>
  <c r="E12" i="20"/>
  <c r="E11" i="20"/>
  <c r="E10" i="20"/>
  <c r="E9" i="20"/>
  <c r="E8" i="20"/>
  <c r="E6" i="20"/>
  <c r="E7" i="20"/>
  <c r="BO101" i="13" l="1"/>
  <c r="BE101" i="13"/>
  <c r="AU101" i="13"/>
  <c r="AK101" i="13"/>
  <c r="AA101" i="13"/>
  <c r="Q101" i="13"/>
  <c r="G101" i="13"/>
  <c r="BO87" i="13"/>
  <c r="BE87" i="13"/>
  <c r="AU87" i="13"/>
  <c r="AK87" i="13"/>
  <c r="AA87" i="13"/>
  <c r="Q87" i="13"/>
  <c r="G87" i="13"/>
  <c r="BO73" i="13"/>
  <c r="BE73" i="13"/>
  <c r="AU73" i="13"/>
  <c r="AK73" i="13"/>
  <c r="AA73" i="13"/>
  <c r="Q73" i="13"/>
  <c r="G73" i="13"/>
  <c r="BO59" i="13"/>
  <c r="BE59" i="13"/>
  <c r="AU59" i="13"/>
  <c r="AK59" i="13"/>
  <c r="AA59" i="13"/>
  <c r="Q59" i="13"/>
  <c r="G59" i="13"/>
  <c r="BO45" i="13"/>
  <c r="BE45" i="13"/>
  <c r="AU45" i="13"/>
  <c r="AK45" i="13"/>
  <c r="AA45" i="13"/>
  <c r="Q45" i="13"/>
  <c r="G45" i="13"/>
  <c r="BO31" i="13"/>
  <c r="BE31" i="13"/>
  <c r="AU31" i="13"/>
  <c r="AK31" i="13"/>
  <c r="AA31" i="13"/>
  <c r="Q31" i="13"/>
  <c r="G31" i="13"/>
  <c r="BO17" i="13"/>
  <c r="BE17" i="13"/>
  <c r="AU17" i="13"/>
  <c r="AK17" i="13"/>
  <c r="AA17" i="13"/>
  <c r="Q17" i="13"/>
  <c r="G17" i="13"/>
  <c r="BO92" i="12"/>
  <c r="BE92" i="12"/>
  <c r="AU92" i="12"/>
  <c r="AK92" i="12"/>
  <c r="AA92" i="12"/>
  <c r="Q92" i="12"/>
  <c r="G92" i="12"/>
  <c r="BO91" i="12"/>
  <c r="BE91" i="12"/>
  <c r="AU91" i="12"/>
  <c r="AK91" i="12"/>
  <c r="AA91" i="12"/>
  <c r="Q91" i="12"/>
  <c r="G91" i="12"/>
  <c r="BE90" i="12"/>
  <c r="AU90" i="12"/>
  <c r="AK90" i="12"/>
  <c r="AA90" i="12"/>
  <c r="Q90" i="12"/>
  <c r="BO73" i="12"/>
  <c r="BE73" i="12"/>
  <c r="AU73" i="12"/>
  <c r="AK73" i="12"/>
  <c r="AA73" i="12"/>
  <c r="Q73" i="12"/>
  <c r="G73" i="12"/>
  <c r="BO72" i="12"/>
  <c r="BE72" i="12"/>
  <c r="AU72" i="12"/>
  <c r="AK72" i="12"/>
  <c r="BO71" i="12"/>
  <c r="BO59" i="12"/>
  <c r="BE59" i="12"/>
  <c r="AU59" i="12"/>
  <c r="AK59" i="12"/>
  <c r="AA59" i="12"/>
  <c r="Q59" i="12"/>
  <c r="G59" i="12"/>
  <c r="BO45" i="12"/>
  <c r="BE45" i="12"/>
  <c r="AU45" i="12"/>
  <c r="AK45" i="12"/>
  <c r="AA45" i="12"/>
  <c r="Q45" i="12"/>
  <c r="G45" i="12"/>
  <c r="Q44" i="12"/>
  <c r="G44" i="12"/>
  <c r="BO31" i="12"/>
  <c r="BE31" i="12"/>
  <c r="AU31" i="12"/>
  <c r="AK31" i="12"/>
  <c r="AA31" i="12"/>
  <c r="Q31" i="12"/>
  <c r="G31" i="12"/>
  <c r="BO30" i="12"/>
  <c r="BE30" i="12"/>
  <c r="AU30" i="12"/>
  <c r="AK30" i="12"/>
  <c r="AA30" i="12"/>
  <c r="Q30" i="12"/>
  <c r="G30" i="12"/>
  <c r="BO17" i="12"/>
  <c r="BE17" i="12"/>
  <c r="AU17" i="12"/>
  <c r="AK17" i="12"/>
  <c r="AA17" i="12"/>
  <c r="Q17" i="12"/>
  <c r="G17" i="12"/>
  <c r="BO17" i="11" l="1"/>
  <c r="BO18" i="11"/>
  <c r="BO19" i="11"/>
  <c r="BO32" i="11"/>
  <c r="BO33" i="11"/>
  <c r="BO34" i="11"/>
  <c r="BO48" i="11"/>
  <c r="BO49" i="11"/>
  <c r="BO64" i="11"/>
  <c r="BO77" i="11"/>
  <c r="BO78" i="11"/>
  <c r="BO87" i="11"/>
  <c r="BO94" i="11"/>
  <c r="BE94" i="11"/>
  <c r="AU94" i="11"/>
  <c r="AK94" i="11"/>
  <c r="AA94" i="11"/>
  <c r="Q94" i="11"/>
  <c r="G94" i="11"/>
  <c r="AU93" i="11"/>
  <c r="AK93" i="11"/>
  <c r="AA93" i="11"/>
  <c r="Q93" i="11"/>
  <c r="G93" i="11"/>
  <c r="AU79" i="11"/>
  <c r="AK79" i="11"/>
  <c r="AA79" i="11"/>
  <c r="Q79" i="11"/>
  <c r="G79" i="11"/>
  <c r="BE78" i="11"/>
  <c r="AU78" i="11"/>
  <c r="AK78" i="11"/>
  <c r="AA78" i="11"/>
  <c r="Q78" i="11"/>
  <c r="G78" i="11"/>
  <c r="G77" i="11"/>
  <c r="BE64" i="11"/>
  <c r="AU64" i="11"/>
  <c r="AK64" i="11"/>
  <c r="Q64" i="11"/>
  <c r="G64" i="11"/>
  <c r="AU63" i="11"/>
  <c r="AK63" i="11"/>
  <c r="Q63" i="11"/>
  <c r="G63" i="11"/>
  <c r="AU62" i="11"/>
  <c r="AK62" i="11"/>
  <c r="G62" i="11"/>
  <c r="BE49" i="11"/>
  <c r="AU49" i="11"/>
  <c r="AK49" i="11"/>
  <c r="AA49" i="11"/>
  <c r="Q49" i="11"/>
  <c r="G49" i="11"/>
  <c r="BE48" i="11"/>
  <c r="AU48" i="11"/>
  <c r="AK48" i="11"/>
  <c r="AA48" i="11"/>
  <c r="Q48" i="11"/>
  <c r="G48" i="11"/>
  <c r="BE47" i="11"/>
  <c r="AU47" i="11"/>
  <c r="AK47" i="11"/>
  <c r="AA47" i="11"/>
  <c r="Q47" i="11"/>
  <c r="G47" i="11"/>
  <c r="BE34" i="11"/>
  <c r="AU34" i="11"/>
  <c r="AK34" i="11"/>
  <c r="AA34" i="11"/>
  <c r="Q34" i="11"/>
  <c r="G34" i="11"/>
  <c r="BE33" i="11"/>
  <c r="AU33" i="11"/>
  <c r="AK33" i="11"/>
  <c r="AA33" i="11"/>
  <c r="Q33" i="11"/>
  <c r="G33" i="11"/>
  <c r="G32" i="11"/>
  <c r="BE19" i="11"/>
  <c r="AU19" i="11"/>
  <c r="AK19" i="11"/>
  <c r="AA19" i="11"/>
  <c r="Q19" i="11"/>
  <c r="G19" i="11"/>
  <c r="BE18" i="11"/>
  <c r="AU18" i="11"/>
  <c r="Q18" i="11"/>
  <c r="G18" i="11"/>
  <c r="BE17" i="11"/>
  <c r="AU17" i="11"/>
  <c r="Q17" i="11"/>
  <c r="G17" i="11"/>
  <c r="G16" i="11"/>
  <c r="S77" i="3" l="1"/>
  <c r="BK82" i="3"/>
  <c r="S82" i="3"/>
  <c r="BK81" i="3"/>
  <c r="AO81" i="3"/>
  <c r="S81" i="3"/>
  <c r="BK80" i="3"/>
  <c r="AO80" i="3"/>
  <c r="S80" i="3"/>
  <c r="BK79" i="3"/>
  <c r="AO79" i="3"/>
  <c r="S79" i="3"/>
  <c r="BK78" i="3"/>
  <c r="AO78" i="3"/>
  <c r="S78" i="3"/>
  <c r="BK77" i="3"/>
  <c r="AO77" i="3"/>
  <c r="BK76" i="3"/>
  <c r="S76" i="3"/>
  <c r="BK75" i="3"/>
  <c r="S75" i="3"/>
  <c r="BQ93" i="9"/>
  <c r="BG93" i="9"/>
  <c r="AW93" i="9"/>
  <c r="AM93" i="9"/>
  <c r="AA93" i="9"/>
  <c r="Q93" i="9"/>
  <c r="G93" i="9"/>
  <c r="BQ92" i="9"/>
  <c r="BG92" i="9"/>
  <c r="AW92" i="9"/>
  <c r="AM92" i="9"/>
  <c r="BO77" i="9"/>
  <c r="BE77" i="9"/>
  <c r="AU77" i="9"/>
  <c r="AK77" i="9"/>
  <c r="AA77" i="9"/>
  <c r="Q77" i="9"/>
  <c r="G77" i="9"/>
  <c r="BO76" i="9"/>
  <c r="BE76" i="9"/>
  <c r="AU76" i="9"/>
  <c r="AK76" i="9"/>
  <c r="AA76" i="9"/>
  <c r="Q76" i="9"/>
  <c r="G76" i="9"/>
  <c r="BO61" i="9"/>
  <c r="BE61" i="9"/>
  <c r="AU61" i="9"/>
  <c r="AK61" i="9"/>
  <c r="AA61" i="9"/>
  <c r="Q61" i="9"/>
  <c r="G61" i="9"/>
  <c r="BE60" i="9"/>
  <c r="AU60" i="9"/>
  <c r="AK60" i="9"/>
  <c r="AA60" i="9"/>
  <c r="Q60" i="9"/>
  <c r="G60" i="9"/>
  <c r="BO45" i="9"/>
  <c r="BE45" i="9"/>
  <c r="AU45" i="9"/>
  <c r="AK45" i="9"/>
  <c r="AA45" i="9"/>
  <c r="Q45" i="9"/>
  <c r="G45" i="9"/>
  <c r="BO44" i="9"/>
  <c r="BE44" i="9"/>
  <c r="AU44" i="9"/>
  <c r="AK44" i="9"/>
  <c r="AA44" i="9"/>
  <c r="Q44" i="9"/>
  <c r="G44" i="9"/>
  <c r="BO29" i="9"/>
  <c r="BE29" i="9"/>
  <c r="AU29" i="9"/>
  <c r="AK29" i="9"/>
  <c r="AA29" i="9"/>
  <c r="Q29" i="9"/>
  <c r="G29" i="9"/>
  <c r="BO16" i="9"/>
  <c r="BE16" i="9"/>
  <c r="AU16" i="9"/>
  <c r="AK16" i="9"/>
  <c r="AA16" i="9"/>
  <c r="Q16" i="9"/>
  <c r="G16" i="9"/>
  <c r="BJ100" i="5"/>
  <c r="AY100" i="5"/>
  <c r="AY99" i="5"/>
  <c r="AO100" i="5"/>
  <c r="R86" i="5"/>
  <c r="T86" i="5"/>
  <c r="H87" i="5"/>
  <c r="R87" i="5"/>
  <c r="T87" i="5"/>
  <c r="AC86" i="5"/>
  <c r="AE86" i="5"/>
  <c r="AC87" i="5"/>
  <c r="AE87" i="5"/>
  <c r="AO87" i="5"/>
  <c r="BK127" i="5"/>
  <c r="BK126" i="5"/>
  <c r="BK125" i="5"/>
  <c r="AZ127" i="5"/>
  <c r="AZ126" i="5"/>
  <c r="AO127" i="5"/>
  <c r="AO126" i="5"/>
  <c r="AD127" i="5"/>
  <c r="AD126" i="5"/>
  <c r="AD125" i="5"/>
  <c r="S127" i="5"/>
  <c r="S126" i="5"/>
  <c r="I127" i="5"/>
  <c r="I126" i="5"/>
  <c r="G127" i="5"/>
  <c r="G126" i="5"/>
  <c r="AQ73" i="5"/>
  <c r="AO73" i="5"/>
  <c r="BK113" i="5"/>
  <c r="BK112" i="5"/>
  <c r="AZ113" i="5"/>
  <c r="AZ112" i="5"/>
  <c r="AO113" i="5"/>
  <c r="AO112" i="5"/>
  <c r="AD113" i="5"/>
  <c r="AD112" i="5"/>
  <c r="S113" i="5"/>
  <c r="S112" i="5"/>
  <c r="H113" i="5"/>
  <c r="H112" i="5"/>
  <c r="BL87" i="5"/>
  <c r="BJ87" i="5"/>
  <c r="BA87" i="5"/>
  <c r="BA86" i="5"/>
  <c r="AY87" i="5"/>
  <c r="AY86" i="5"/>
  <c r="S58" i="3"/>
  <c r="AZ72" i="3"/>
  <c r="S17" i="5" l="1"/>
  <c r="S15" i="5"/>
  <c r="AD73" i="5"/>
  <c r="S73" i="5"/>
  <c r="H73" i="5"/>
  <c r="AZ59" i="5"/>
  <c r="AO59" i="5"/>
  <c r="AD59" i="5"/>
  <c r="S59" i="5"/>
  <c r="H59" i="5"/>
  <c r="S58" i="5"/>
  <c r="H58" i="5"/>
  <c r="BK45" i="5"/>
  <c r="AZ45" i="5"/>
  <c r="AO45" i="5"/>
  <c r="AD45" i="5"/>
  <c r="S45" i="5"/>
  <c r="H45" i="5"/>
  <c r="BK31" i="5"/>
  <c r="AZ31" i="5"/>
  <c r="AO31" i="5"/>
  <c r="AD31" i="5"/>
  <c r="S31" i="5"/>
  <c r="AO72" i="3"/>
  <c r="AD72" i="3"/>
  <c r="S72" i="3"/>
  <c r="H72" i="3"/>
  <c r="BK58" i="3"/>
  <c r="AZ58" i="3"/>
  <c r="AO58" i="3"/>
  <c r="AD58" i="3"/>
  <c r="U58" i="3"/>
  <c r="H58" i="3"/>
  <c r="BK44" i="3"/>
  <c r="AZ44" i="3"/>
  <c r="AO44" i="3"/>
  <c r="AD44" i="3"/>
  <c r="S44" i="3"/>
  <c r="H44" i="3"/>
  <c r="BK31" i="3"/>
  <c r="AZ31" i="3"/>
  <c r="AO31" i="3"/>
  <c r="AD31" i="3"/>
  <c r="S31" i="3"/>
  <c r="H31" i="3"/>
  <c r="BK18" i="3"/>
  <c r="AZ18" i="3"/>
  <c r="AO18" i="3"/>
  <c r="AD18" i="3"/>
  <c r="S18" i="3"/>
  <c r="BK17" i="3"/>
  <c r="AZ17" i="3"/>
  <c r="AO17" i="3"/>
  <c r="AD17" i="3"/>
  <c r="S17" i="3"/>
  <c r="H17" i="3"/>
</calcChain>
</file>

<file path=xl/sharedStrings.xml><?xml version="1.0" encoding="utf-8"?>
<sst xmlns="http://schemas.openxmlformats.org/spreadsheetml/2006/main" count="1472" uniqueCount="767">
  <si>
    <t>Вернутся к 
оглавлению</t>
  </si>
  <si>
    <t>г.Чита, Анохина 93, ТЦ "PLAZA"</t>
  </si>
  <si>
    <t>сайт: www.furnizab.ru</t>
  </si>
  <si>
    <t>e-mail: mail@furnizab.ru</t>
  </si>
  <si>
    <t>ПРАЙС-ЛИСТ НЕ ЯВЛЯЕТСЯ ОФЕРТОЙ И НОСИТ ИНФОРМАЦИОННЫЙ ХАРАКТЕР</t>
  </si>
  <si>
    <t>Стол ученический</t>
  </si>
  <si>
    <t>У.С.1</t>
  </si>
  <si>
    <t>У.С.1(р)</t>
  </si>
  <si>
    <t>У.С.р.1</t>
  </si>
  <si>
    <t>У.С.р.1(р)</t>
  </si>
  <si>
    <t>У.С.2</t>
  </si>
  <si>
    <t>У.С.2(р)</t>
  </si>
  <si>
    <t>рег. угол</t>
  </si>
  <si>
    <t>У.С.р.2</t>
  </si>
  <si>
    <t>растущий</t>
  </si>
  <si>
    <t>У.С.р.2(р)</t>
  </si>
  <si>
    <t>растущий, рег. угол</t>
  </si>
  <si>
    <t>Трансформер</t>
  </si>
  <si>
    <t xml:space="preserve"> рег. угол</t>
  </si>
  <si>
    <t>(№: 3, 4, 5, 6, 7)</t>
  </si>
  <si>
    <t>№: 2-4; 3-5; 4-6; 5-7</t>
  </si>
  <si>
    <t>600*500*№</t>
  </si>
  <si>
    <t>1200*500*№</t>
  </si>
  <si>
    <t>К.У.1</t>
  </si>
  <si>
    <t xml:space="preserve">Комплект </t>
  </si>
  <si>
    <t>К.У.2</t>
  </si>
  <si>
    <t>К.У.р.1</t>
  </si>
  <si>
    <t>К.У.р.2</t>
  </si>
  <si>
    <t>Пт.1</t>
  </si>
  <si>
    <t>Парта - моноблок</t>
  </si>
  <si>
    <t>Пт.р.1</t>
  </si>
  <si>
    <t>ученический</t>
  </si>
  <si>
    <t>ученический растущий</t>
  </si>
  <si>
    <t xml:space="preserve"> растущий</t>
  </si>
  <si>
    <t>1-местный (№: 3, 4, 5, 6, 7)</t>
  </si>
  <si>
    <t>2-местный (№: 3, 4, 5, 6, 7)</t>
  </si>
  <si>
    <t xml:space="preserve"> 1-местный (№: 2-4; 3-5; 4-6; 5-7)</t>
  </si>
  <si>
    <t xml:space="preserve"> 1-местный (№: 3, 4, 5, 6, 7)</t>
  </si>
  <si>
    <t>1-местный (№: 2-4; 3-5; 4-6; 5-7)</t>
  </si>
  <si>
    <t>Пт.2</t>
  </si>
  <si>
    <t>Пт.р.2</t>
  </si>
  <si>
    <t xml:space="preserve"> </t>
  </si>
  <si>
    <t>2-местный (№: 2-4; 3-5; 4-6; 5-7)</t>
  </si>
  <si>
    <t>1-местный (№: 2-4;3-5;4-6;5-7)</t>
  </si>
  <si>
    <t>С.Х.1</t>
  </si>
  <si>
    <t>С.Ф.1</t>
  </si>
  <si>
    <t xml:space="preserve">Стол ученический </t>
  </si>
  <si>
    <t>С.К.м.1</t>
  </si>
  <si>
    <t>Стол компьютерный</t>
  </si>
  <si>
    <t>С.К.м.2</t>
  </si>
  <si>
    <t>Л.1</t>
  </si>
  <si>
    <t>Стол 1-местный</t>
  </si>
  <si>
    <t>Л.2</t>
  </si>
  <si>
    <t>Стол 2-местный</t>
  </si>
  <si>
    <t xml:space="preserve">для кабинета химии (пластик) </t>
  </si>
  <si>
    <t>для кабинета физики/биолог</t>
  </si>
  <si>
    <t>лингафонный</t>
  </si>
  <si>
    <t>диметр раковины 150мм</t>
  </si>
  <si>
    <t>2-местный (№: 5, 6, 7)</t>
  </si>
  <si>
    <t>2-местный(№:5,6,7</t>
  </si>
  <si>
    <t>лдсп</t>
  </si>
  <si>
    <t>пл.</t>
  </si>
  <si>
    <t xml:space="preserve"> 2-местный (№: 3, 4, 5, 6, 7)</t>
  </si>
  <si>
    <t>1200*600*№</t>
  </si>
  <si>
    <t>800*700*№</t>
  </si>
  <si>
    <t>С.Ч.1</t>
  </si>
  <si>
    <t>К.р.(р)</t>
  </si>
  <si>
    <t>Конторка растущая</t>
  </si>
  <si>
    <t>СТ.1</t>
  </si>
  <si>
    <t>Стул ученический</t>
  </si>
  <si>
    <t>СТ.Р.1</t>
  </si>
  <si>
    <t>СТ.П.1</t>
  </si>
  <si>
    <t>С.А.1</t>
  </si>
  <si>
    <t>Стулья аудиторные</t>
  </si>
  <si>
    <t>для кабинета черчения</t>
  </si>
  <si>
    <t>Пластик</t>
  </si>
  <si>
    <t>№4-6: 1000-1180-1360</t>
  </si>
  <si>
    <t xml:space="preserve"> (№: 2-4; 3-5; 4-6; 5-7)</t>
  </si>
  <si>
    <t>(№:3,4,5,6,7)</t>
  </si>
  <si>
    <t>2 шт.</t>
  </si>
  <si>
    <t>3 шт.</t>
  </si>
  <si>
    <t>750*500*№</t>
  </si>
  <si>
    <t>600*500</t>
  </si>
  <si>
    <t>фанера гк.</t>
  </si>
  <si>
    <t>С.А.5</t>
  </si>
  <si>
    <t>Скамья ученическая</t>
  </si>
  <si>
    <t>С.А.6</t>
  </si>
  <si>
    <t>Скамья</t>
  </si>
  <si>
    <t>С.А.7</t>
  </si>
  <si>
    <t>Скамья со спинкой</t>
  </si>
  <si>
    <t>С.А.8</t>
  </si>
  <si>
    <t>С.А.10</t>
  </si>
  <si>
    <t>ТБ.1</t>
  </si>
  <si>
    <t xml:space="preserve">Табурет </t>
  </si>
  <si>
    <t>кож.зам.</t>
  </si>
  <si>
    <t>пластик</t>
  </si>
  <si>
    <t>ЛДСП (№: 3, 4, 5, 6, 7)</t>
  </si>
  <si>
    <t>1200*400*440</t>
  </si>
  <si>
    <t>1200*400</t>
  </si>
  <si>
    <t>1200*300*460</t>
  </si>
  <si>
    <t>фанера</t>
  </si>
  <si>
    <t>1200*350*№</t>
  </si>
  <si>
    <t>1500*400*440</t>
  </si>
  <si>
    <t>1500*400</t>
  </si>
  <si>
    <t>1500*300*270</t>
  </si>
  <si>
    <t>1500*300*460</t>
  </si>
  <si>
    <t>300*300*460</t>
  </si>
  <si>
    <t>С.А.9</t>
  </si>
  <si>
    <t>О.С.1</t>
  </si>
  <si>
    <t>Стол обеденный</t>
  </si>
  <si>
    <t>О.С.2</t>
  </si>
  <si>
    <t>О.С.5</t>
  </si>
  <si>
    <t>О.З.1</t>
  </si>
  <si>
    <t>Обеденная зона</t>
  </si>
  <si>
    <t>О.З.2</t>
  </si>
  <si>
    <t xml:space="preserve">на ронделлах </t>
  </si>
  <si>
    <t>(стол пластик, скамьи-ЛДСП)</t>
  </si>
  <si>
    <t>(стол пластик, табуреты-ЛДСП)</t>
  </si>
  <si>
    <t>каркас разборный</t>
  </si>
  <si>
    <t xml:space="preserve"> 800*800*750</t>
  </si>
  <si>
    <t>800*800*4 таб.</t>
  </si>
  <si>
    <t>1200*600*750</t>
  </si>
  <si>
    <t>1200*600</t>
  </si>
  <si>
    <t>1200*600* 4 таб.</t>
  </si>
  <si>
    <t>1500*600*750</t>
  </si>
  <si>
    <t>1500*600</t>
  </si>
  <si>
    <t>1500*600*6 таб.</t>
  </si>
  <si>
    <t>Д.1</t>
  </si>
  <si>
    <t>Доска аудиторная</t>
  </si>
  <si>
    <t>Д.2</t>
  </si>
  <si>
    <t>Д.3</t>
  </si>
  <si>
    <t>Д.4</t>
  </si>
  <si>
    <t>Д.6</t>
  </si>
  <si>
    <t>Доска пробковая</t>
  </si>
  <si>
    <t>В производстве имеются доски с разлиновкой:                                линейка,                                             клетка,                                                     нотный стан.                                    Прайс на весь ассортимент аудиторных досок запрашивайте у специалистов торгового отдела.</t>
  </si>
  <si>
    <t>3-элементная</t>
  </si>
  <si>
    <t>мобильная</t>
  </si>
  <si>
    <t>алюминиевая рамка</t>
  </si>
  <si>
    <t>зел.</t>
  </si>
  <si>
    <t>бел.</t>
  </si>
  <si>
    <t>1000*750</t>
  </si>
  <si>
    <t>поворотная</t>
  </si>
  <si>
    <t>1000*1200</t>
  </si>
  <si>
    <t>1000х1500</t>
  </si>
  <si>
    <t>3000х1000</t>
  </si>
  <si>
    <t>3600х1200</t>
  </si>
  <si>
    <t>1500х1000</t>
  </si>
  <si>
    <t>1200*900</t>
  </si>
  <si>
    <t>Т.Д.1</t>
  </si>
  <si>
    <t>Тумба под классную</t>
  </si>
  <si>
    <t>Т.Д.3</t>
  </si>
  <si>
    <t>Т.Л.1</t>
  </si>
  <si>
    <t>Тумба лаборатор.</t>
  </si>
  <si>
    <t>Т.Л.2</t>
  </si>
  <si>
    <t>Тумба лабортор.</t>
  </si>
  <si>
    <t>доску для геометр. наборов,</t>
  </si>
  <si>
    <t>доску для пособий, карт,</t>
  </si>
  <si>
    <t>топ пластик</t>
  </si>
  <si>
    <t>с мойкой (топ пластик)</t>
  </si>
  <si>
    <t>карты и др.</t>
  </si>
  <si>
    <t xml:space="preserve"> плакатов и др.</t>
  </si>
  <si>
    <t>1200*300*700</t>
  </si>
  <si>
    <t>800*500*800</t>
  </si>
  <si>
    <t>400*500*800</t>
  </si>
  <si>
    <t>С.Д.1</t>
  </si>
  <si>
    <t>Стол</t>
  </si>
  <si>
    <t>С.Д.2</t>
  </si>
  <si>
    <t>Ш.В.1</t>
  </si>
  <si>
    <t>Шкаф вытяжной</t>
  </si>
  <si>
    <t>Ш.В.2</t>
  </si>
  <si>
    <t>Я.1</t>
  </si>
  <si>
    <t>Ящик для ключей</t>
  </si>
  <si>
    <t>Ж.1</t>
  </si>
  <si>
    <t xml:space="preserve">Ящик </t>
  </si>
  <si>
    <t>демонстрационный</t>
  </si>
  <si>
    <t>"Аквариум"</t>
  </si>
  <si>
    <t>для журналов</t>
  </si>
  <si>
    <t>(химия) пластик</t>
  </si>
  <si>
    <t>(физика)</t>
  </si>
  <si>
    <t>С вытяжным вентилятором</t>
  </si>
  <si>
    <t>2400*700*900</t>
  </si>
  <si>
    <t>600*580*1700</t>
  </si>
  <si>
    <t>500*100*750</t>
  </si>
  <si>
    <t>500*250*800</t>
  </si>
  <si>
    <t>В.1</t>
  </si>
  <si>
    <t>Вешалка</t>
  </si>
  <si>
    <t>В.2</t>
  </si>
  <si>
    <t xml:space="preserve">Вешалка </t>
  </si>
  <si>
    <t>В.3</t>
  </si>
  <si>
    <t>В.4</t>
  </si>
  <si>
    <t>Вешалка настенная</t>
  </si>
  <si>
    <t>В.5</t>
  </si>
  <si>
    <t>В.7</t>
  </si>
  <si>
    <t>Вешалка напольная</t>
  </si>
  <si>
    <t xml:space="preserve"> (36 мест)</t>
  </si>
  <si>
    <t>(24 места)</t>
  </si>
  <si>
    <t>со скамьей (10 крючков)</t>
  </si>
  <si>
    <t>(10 крючков)</t>
  </si>
  <si>
    <t>(5 крючков)</t>
  </si>
  <si>
    <t>с подставкой для зонтов</t>
  </si>
  <si>
    <t>2400*400*1700</t>
  </si>
  <si>
    <t>1585*400*1700</t>
  </si>
  <si>
    <t>В1.1 " с тумбой</t>
  </si>
  <si>
    <t>В2.2 с тумбой</t>
  </si>
  <si>
    <t>1500*400*1700</t>
  </si>
  <si>
    <t>765*220*700</t>
  </si>
  <si>
    <t>800*250*300</t>
  </si>
  <si>
    <t>1600*300*300</t>
  </si>
  <si>
    <t>ТР.1</t>
  </si>
  <si>
    <t>Трибуна</t>
  </si>
  <si>
    <t>ТР.2</t>
  </si>
  <si>
    <t>ТР.3</t>
  </si>
  <si>
    <t>ГК</t>
  </si>
  <si>
    <t xml:space="preserve">Комплект деталей </t>
  </si>
  <si>
    <t>К.д.1</t>
  </si>
  <si>
    <t>К.д.3</t>
  </si>
  <si>
    <t>настольная</t>
  </si>
  <si>
    <t>напольная</t>
  </si>
  <si>
    <t>для стула (фанера)</t>
  </si>
  <si>
    <t>К.д.2</t>
  </si>
  <si>
    <t xml:space="preserve">для стола </t>
  </si>
  <si>
    <t>для скамьи</t>
  </si>
  <si>
    <t>гнутоклееная</t>
  </si>
  <si>
    <t>Отдельно столешница 867р</t>
  </si>
  <si>
    <t>600*500*440</t>
  </si>
  <si>
    <t>600*500*1200</t>
  </si>
  <si>
    <t>№4, №6</t>
  </si>
  <si>
    <t>1200*500</t>
  </si>
  <si>
    <t>1200*350</t>
  </si>
  <si>
    <t>К.С.А.5</t>
  </si>
  <si>
    <t>Каркас скамьи</t>
  </si>
  <si>
    <t>К.С.А.8</t>
  </si>
  <si>
    <t>К.т.1</t>
  </si>
  <si>
    <t>Каркас для стула</t>
  </si>
  <si>
    <t>К.т.1(р)</t>
  </si>
  <si>
    <t>К.т.2</t>
  </si>
  <si>
    <t>Каркас для стола</t>
  </si>
  <si>
    <t>К.т.2(р)</t>
  </si>
  <si>
    <t>Комплект болтов</t>
  </si>
  <si>
    <t>1095*244*№</t>
  </si>
  <si>
    <t>1290*280*250</t>
  </si>
  <si>
    <t>№: 3,4,5,6</t>
  </si>
  <si>
    <t>№: 2-4, 4-6</t>
  </si>
  <si>
    <t>Раковина</t>
  </si>
  <si>
    <t>Кран</t>
  </si>
  <si>
    <t>Столешница пластик 1/2 местн.</t>
  </si>
  <si>
    <t>Регулировка наклона парты</t>
  </si>
  <si>
    <t>Вентилятор для вытяжных шкафов</t>
  </si>
  <si>
    <t>Полка для учебников 1/2 местн.</t>
  </si>
  <si>
    <t>Дополнительное ребро жесткости на болтовых стяжках</t>
  </si>
  <si>
    <t>Розетка двойная</t>
  </si>
  <si>
    <t>Столешница ЛДСП 22 мм.</t>
  </si>
  <si>
    <t>Комплект болтов для стола</t>
  </si>
  <si>
    <t>Розетка двойная с заземлением и шторками</t>
  </si>
  <si>
    <t>Кромка ПВХ 2,0 мм. 2-мест.</t>
  </si>
  <si>
    <t>Комплект болтов для стула</t>
  </si>
  <si>
    <t>Кабель - канал с отверстием</t>
  </si>
  <si>
    <t>Кромка ПВХ 2,0 мм. 1-мест.</t>
  </si>
  <si>
    <t>Крючок 2 шт. + саморез 2 шт.</t>
  </si>
  <si>
    <t>Замок на ЛДСП</t>
  </si>
  <si>
    <t>Пенал для письменных принадлежностей</t>
  </si>
  <si>
    <t>Заглушка</t>
  </si>
  <si>
    <t>Замок на стекло</t>
  </si>
  <si>
    <t>Подпятник</t>
  </si>
  <si>
    <t>Выдвижные ящики на стол ученический</t>
  </si>
  <si>
    <t>Ронделла для детских столов</t>
  </si>
  <si>
    <t xml:space="preserve">Цвет лдсп по умолчанию БУК.  Толщина лдсп по умолчанию 16 мм. (Столешницы и топы возможно изготовить из лдсп 22 мм.) Толщина кромки пвх по умолчанию  0,4 мм. Возможно использовать кромку пвх 2 мм. Металлокаркас квадратного сечения 25*25*1,5. Металлокаркас круглого сечения 18*18*1,5. </t>
  </si>
  <si>
    <t xml:space="preserve">        Мебель для образовательных учреждений</t>
  </si>
  <si>
    <t>Трансформер рег. угол</t>
  </si>
  <si>
    <t>растущий Трансформер</t>
  </si>
  <si>
    <t xml:space="preserve">Стул </t>
  </si>
  <si>
    <t xml:space="preserve">       Мебель для образовательных учреждений</t>
  </si>
  <si>
    <t>510р./947р.</t>
  </si>
  <si>
    <t>369р./695р.</t>
  </si>
  <si>
    <t>ПВХ 2мм (метр кромки*112р) / ЛДСП 22мм (м2*635р)</t>
  </si>
  <si>
    <t>подвесы +441р</t>
  </si>
  <si>
    <t>По запросу</t>
  </si>
  <si>
    <t>Радиусы на столешнице 1 угол</t>
  </si>
  <si>
    <t>Прайс-лист "Школьная мебель"</t>
  </si>
  <si>
    <t>1. Школьная мебель</t>
  </si>
  <si>
    <t>П.1</t>
  </si>
  <si>
    <t>Пенал</t>
  </si>
  <si>
    <t>П.2</t>
  </si>
  <si>
    <t>П.3</t>
  </si>
  <si>
    <t>П.4</t>
  </si>
  <si>
    <t>П.5</t>
  </si>
  <si>
    <t>П.6</t>
  </si>
  <si>
    <t>П.7</t>
  </si>
  <si>
    <t>400*400*1200</t>
  </si>
  <si>
    <t>Ш.1</t>
  </si>
  <si>
    <t xml:space="preserve">Шкаф низкий </t>
  </si>
  <si>
    <t>Ш.2</t>
  </si>
  <si>
    <t>Ш.3</t>
  </si>
  <si>
    <t>Ш.4</t>
  </si>
  <si>
    <t>Ш.5</t>
  </si>
  <si>
    <t>Ш.6</t>
  </si>
  <si>
    <t>Ш.7</t>
  </si>
  <si>
    <t>канцелярский</t>
  </si>
  <si>
    <t>800*400*1200</t>
  </si>
  <si>
    <t>Ш.П.1</t>
  </si>
  <si>
    <t>Шкаф-пенал</t>
  </si>
  <si>
    <t>Ш.П.2</t>
  </si>
  <si>
    <t>Ш.П.3</t>
  </si>
  <si>
    <t>Ш.П.4</t>
  </si>
  <si>
    <t>Ш.П.5</t>
  </si>
  <si>
    <t>Ш.П.6</t>
  </si>
  <si>
    <t>Ш.П.7</t>
  </si>
  <si>
    <t>400*400*1800</t>
  </si>
  <si>
    <t>400*400*2000</t>
  </si>
  <si>
    <t>Ш.К.1</t>
  </si>
  <si>
    <t>Шкаф</t>
  </si>
  <si>
    <t>Ш.К.2</t>
  </si>
  <si>
    <t>Ш.К.3</t>
  </si>
  <si>
    <t>Ш.К.4</t>
  </si>
  <si>
    <t>Ш.К.5</t>
  </si>
  <si>
    <t>Ш.К.6</t>
  </si>
  <si>
    <t>Ш.К.7</t>
  </si>
  <si>
    <t>800*400*1800</t>
  </si>
  <si>
    <t>800*400*2000</t>
  </si>
  <si>
    <t>Ш.О.1</t>
  </si>
  <si>
    <t>Ш.О.2</t>
  </si>
  <si>
    <t>Ш.О.3</t>
  </si>
  <si>
    <t>Ш.О.4</t>
  </si>
  <si>
    <t>Ш.О.5</t>
  </si>
  <si>
    <t>Ш.О.6</t>
  </si>
  <si>
    <t>Ш.О.7</t>
  </si>
  <si>
    <t>для одежды</t>
  </si>
  <si>
    <t>600*400*1800</t>
  </si>
  <si>
    <t>400*600*1800</t>
  </si>
  <si>
    <t>800*600*1800</t>
  </si>
  <si>
    <t>900*400*1800</t>
  </si>
  <si>
    <t>350*600*1800</t>
  </si>
  <si>
    <t>600*400*2000</t>
  </si>
  <si>
    <t>400*600*2000</t>
  </si>
  <si>
    <t>800*600*2000</t>
  </si>
  <si>
    <t>900*400*2000</t>
  </si>
  <si>
    <t>350*600*2000</t>
  </si>
  <si>
    <t>Ш.О.8</t>
  </si>
  <si>
    <t>Ш.О.9</t>
  </si>
  <si>
    <t>Ш.О.10</t>
  </si>
  <si>
    <t>Ш.Ж.1</t>
  </si>
  <si>
    <t xml:space="preserve">Шкаф </t>
  </si>
  <si>
    <t>Ш.Ж.2</t>
  </si>
  <si>
    <t>Ш.Ж.3</t>
  </si>
  <si>
    <t>Ш.Ж.4</t>
  </si>
  <si>
    <t>16 яч.</t>
  </si>
  <si>
    <t>9 яч.</t>
  </si>
  <si>
    <t>350*400*1800</t>
  </si>
  <si>
    <t>350*400*2000</t>
  </si>
  <si>
    <t>24 яч.</t>
  </si>
  <si>
    <t>12 яч.</t>
  </si>
  <si>
    <t>Нажмите чтобы узнать какие есть дополнения к ученическим столам и стульям</t>
  </si>
  <si>
    <t xml:space="preserve">                                                            Шкафы</t>
  </si>
  <si>
    <t>По умолчанию цвет ЛДСП Бук светлый, доступны следующие цвета:</t>
  </si>
  <si>
    <t>Цветная кромка доступна бесплатно</t>
  </si>
  <si>
    <t>С.п.1</t>
  </si>
  <si>
    <t>Стол письменный</t>
  </si>
  <si>
    <t>С.п.2</t>
  </si>
  <si>
    <t>С.п.3</t>
  </si>
  <si>
    <t>С.п.3.1</t>
  </si>
  <si>
    <t>С.п.4</t>
  </si>
  <si>
    <t>Стол с подвесной</t>
  </si>
  <si>
    <t>С.п.5</t>
  </si>
  <si>
    <t>С.п.6</t>
  </si>
  <si>
    <t>с полкой</t>
  </si>
  <si>
    <t>с 2 ящиками</t>
  </si>
  <si>
    <t>с полкой и ящиком</t>
  </si>
  <si>
    <t>тумбой (с дверью)</t>
  </si>
  <si>
    <t>тумбой(с 2 ящиками)</t>
  </si>
  <si>
    <t>тумбой(с дверью)</t>
  </si>
  <si>
    <t>800*700*750</t>
  </si>
  <si>
    <t>1000*700*750</t>
  </si>
  <si>
    <t>1200*700*750</t>
  </si>
  <si>
    <t>1400*700*750</t>
  </si>
  <si>
    <t>С.п.7</t>
  </si>
  <si>
    <t>С.п.7.1</t>
  </si>
  <si>
    <t>С.п.7.2</t>
  </si>
  <si>
    <t>С.п.7.3</t>
  </si>
  <si>
    <t>С.п.7.4</t>
  </si>
  <si>
    <t>С.п.7.5</t>
  </si>
  <si>
    <t>С.п.8</t>
  </si>
  <si>
    <t>с подвесной</t>
  </si>
  <si>
    <t>с подвесными</t>
  </si>
  <si>
    <t>одно тумбовый</t>
  </si>
  <si>
    <t>тумбой (с 3 ящиками)</t>
  </si>
  <si>
    <t>тумбами (с 6 ящиком)</t>
  </si>
  <si>
    <t>тумбами (3 ящика)</t>
  </si>
  <si>
    <t>тумбами (2 ящика)</t>
  </si>
  <si>
    <t>тумбами (2 дверки)</t>
  </si>
  <si>
    <t>с дверкой и нишей</t>
  </si>
  <si>
    <t>1600*700*750</t>
  </si>
  <si>
    <t>1800*700*750</t>
  </si>
  <si>
    <t>С.п.8.1</t>
  </si>
  <si>
    <t>С.п.9</t>
  </si>
  <si>
    <t>С.п.9.1</t>
  </si>
  <si>
    <t>С.п.9.2</t>
  </si>
  <si>
    <t>С.п.9.3</t>
  </si>
  <si>
    <t>С.п.10</t>
  </si>
  <si>
    <t>С.п.11</t>
  </si>
  <si>
    <t>двух тумбовый</t>
  </si>
  <si>
    <t>с дверкой и ящиком</t>
  </si>
  <si>
    <t>с 3 ящиками и нишей</t>
  </si>
  <si>
    <t>с 2 ящиками и нишей</t>
  </si>
  <si>
    <t>с 3 ящиками</t>
  </si>
  <si>
    <t>с 4 ящиками</t>
  </si>
  <si>
    <t>с дверкой</t>
  </si>
  <si>
    <t>С.п.12</t>
  </si>
  <si>
    <t>С.п.13</t>
  </si>
  <si>
    <t>С.п.13.1</t>
  </si>
  <si>
    <t>П.С.1</t>
  </si>
  <si>
    <t>Стол - приставка</t>
  </si>
  <si>
    <t>П.С.2</t>
  </si>
  <si>
    <t>Стол приставка</t>
  </si>
  <si>
    <t>С.С.1</t>
  </si>
  <si>
    <t>Стол угловой</t>
  </si>
  <si>
    <t>С.Ж.1</t>
  </si>
  <si>
    <t>Стол журнальный</t>
  </si>
  <si>
    <t>для переговоров</t>
  </si>
  <si>
    <t>(правый/левый)</t>
  </si>
  <si>
    <t>на ронделле</t>
  </si>
  <si>
    <t>соединительный</t>
  </si>
  <si>
    <t>Стол эргономичный</t>
  </si>
  <si>
    <t>1400*750*750</t>
  </si>
  <si>
    <t>с тумбой (любой из прайса</t>
  </si>
  <si>
    <t>800*600*750</t>
  </si>
  <si>
    <t>1600*750*750</t>
  </si>
  <si>
    <t>1400*900*750</t>
  </si>
  <si>
    <t>Стол С.П. (1400) + 573р</t>
  </si>
  <si>
    <t>1000*600*750</t>
  </si>
  <si>
    <t>1700*750*750</t>
  </si>
  <si>
    <t>1600*900*750</t>
  </si>
  <si>
    <t>Стол С.П. (1600) + 667р</t>
  </si>
  <si>
    <t>700*700*750</t>
  </si>
  <si>
    <t>660*660*580</t>
  </si>
  <si>
    <t>С.К.1</t>
  </si>
  <si>
    <t>С.К.2</t>
  </si>
  <si>
    <t>С.К.3</t>
  </si>
  <si>
    <t>С.К.4</t>
  </si>
  <si>
    <t>С.К.5</t>
  </si>
  <si>
    <t>С.У.1</t>
  </si>
  <si>
    <t>Сегмент угловой</t>
  </si>
  <si>
    <t>П.С.3</t>
  </si>
  <si>
    <t>Приставка</t>
  </si>
  <si>
    <t xml:space="preserve"> компьютерный</t>
  </si>
  <si>
    <t>с полкой под клавиатуру</t>
  </si>
  <si>
    <t>с нишей под процессор</t>
  </si>
  <si>
    <t>с подвесной тумбой</t>
  </si>
  <si>
    <t>однотумбовый с нишей</t>
  </si>
  <si>
    <t xml:space="preserve"> (дверца)</t>
  </si>
  <si>
    <t xml:space="preserve"> (2 ящика, ниша)</t>
  </si>
  <si>
    <t xml:space="preserve"> и дверкой</t>
  </si>
  <si>
    <t>600*300*16</t>
  </si>
  <si>
    <t>700*700*16</t>
  </si>
  <si>
    <t>1200*300*16</t>
  </si>
  <si>
    <t>металлоопора</t>
  </si>
  <si>
    <t>С.К.6</t>
  </si>
  <si>
    <t>Н.1</t>
  </si>
  <si>
    <t>Надставка</t>
  </si>
  <si>
    <t>Н.2</t>
  </si>
  <si>
    <t>Н.3</t>
  </si>
  <si>
    <t>Н.4</t>
  </si>
  <si>
    <t>П.М.1</t>
  </si>
  <si>
    <t>Подставка</t>
  </si>
  <si>
    <t>Дв.1</t>
  </si>
  <si>
    <t xml:space="preserve">доска выкатная </t>
  </si>
  <si>
    <t xml:space="preserve"> на стол</t>
  </si>
  <si>
    <t>под монитор</t>
  </si>
  <si>
    <t>для клавиатуры</t>
  </si>
  <si>
    <t>с тумбой и нишей</t>
  </si>
  <si>
    <t>крепеж: уголки</t>
  </si>
  <si>
    <t>П.П.1</t>
  </si>
  <si>
    <t>под процессор</t>
  </si>
  <si>
    <t>1000*250*350</t>
  </si>
  <si>
    <t>1000*250*750</t>
  </si>
  <si>
    <t>1200*250*350</t>
  </si>
  <si>
    <t>1200*250*750</t>
  </si>
  <si>
    <t>400*400*66</t>
  </si>
  <si>
    <t>350*500*160</t>
  </si>
  <si>
    <t xml:space="preserve">                                      Столы</t>
  </si>
  <si>
    <t>Тумбы</t>
  </si>
  <si>
    <t>Т.2</t>
  </si>
  <si>
    <t>Тумба</t>
  </si>
  <si>
    <t>Т.3</t>
  </si>
  <si>
    <t>Т.4</t>
  </si>
  <si>
    <t>Т.5</t>
  </si>
  <si>
    <t>Т.6</t>
  </si>
  <si>
    <t xml:space="preserve">Тумба </t>
  </si>
  <si>
    <t>Т.6.1</t>
  </si>
  <si>
    <t>Т.6.2</t>
  </si>
  <si>
    <t>на колесах</t>
  </si>
  <si>
    <t xml:space="preserve"> прикроватная</t>
  </si>
  <si>
    <t>Регулируемые опоры</t>
  </si>
  <si>
    <t>400*400*600</t>
  </si>
  <si>
    <t>Т.8</t>
  </si>
  <si>
    <t>Т.9</t>
  </si>
  <si>
    <t>Т.10</t>
  </si>
  <si>
    <t>Т.11</t>
  </si>
  <si>
    <t>Т.12</t>
  </si>
  <si>
    <t>Т.13</t>
  </si>
  <si>
    <t>Т.14</t>
  </si>
  <si>
    <t>приставная</t>
  </si>
  <si>
    <t>400*400*750</t>
  </si>
  <si>
    <t>400*600*750</t>
  </si>
  <si>
    <t>Т.15</t>
  </si>
  <si>
    <t>Т.16</t>
  </si>
  <si>
    <t>С.Т.1</t>
  </si>
  <si>
    <t>Стол-тумба</t>
  </si>
  <si>
    <t>С.Т.2</t>
  </si>
  <si>
    <t>С.Т.2.1</t>
  </si>
  <si>
    <t>С.Т.2.2</t>
  </si>
  <si>
    <t>С.Т.3</t>
  </si>
  <si>
    <t>800*400*750</t>
  </si>
  <si>
    <t>С.Т.3.1</t>
  </si>
  <si>
    <t>С.Т.3.2</t>
  </si>
  <si>
    <t>С.Т.4</t>
  </si>
  <si>
    <t>С.Т.5</t>
  </si>
  <si>
    <t>С.Т.7</t>
  </si>
  <si>
    <t>Т.У.1</t>
  </si>
  <si>
    <t>Т.У.1.1</t>
  </si>
  <si>
    <t>универсальная</t>
  </si>
  <si>
    <t>задняя стенка ЛДСП</t>
  </si>
  <si>
    <t>800*400*500</t>
  </si>
  <si>
    <t>Т.У.2</t>
  </si>
  <si>
    <t>Т.У.3</t>
  </si>
  <si>
    <t>Т.У.4</t>
  </si>
  <si>
    <t>П.н.1</t>
  </si>
  <si>
    <t>Полка навесная</t>
  </si>
  <si>
    <t>П.н.2</t>
  </si>
  <si>
    <t>П.н.3</t>
  </si>
  <si>
    <t>А.1</t>
  </si>
  <si>
    <t>Антресоль</t>
  </si>
  <si>
    <t>400*400*400</t>
  </si>
  <si>
    <t>400*160*400</t>
  </si>
  <si>
    <t>600*200*200</t>
  </si>
  <si>
    <t>400*200*150</t>
  </si>
  <si>
    <t>800*400*400</t>
  </si>
  <si>
    <t>800*160*400</t>
  </si>
  <si>
    <t>800*200*200</t>
  </si>
  <si>
    <t>800*200*150</t>
  </si>
  <si>
    <t>800*600*400</t>
  </si>
  <si>
    <t>Ш.У.1</t>
  </si>
  <si>
    <t>Шкаф угловой</t>
  </si>
  <si>
    <t>С.1</t>
  </si>
  <si>
    <t>Стеллаж угловой</t>
  </si>
  <si>
    <t>С.2</t>
  </si>
  <si>
    <t>Секция</t>
  </si>
  <si>
    <t>С.3</t>
  </si>
  <si>
    <t xml:space="preserve">Секция </t>
  </si>
  <si>
    <t>С.4</t>
  </si>
  <si>
    <t>Купе 1</t>
  </si>
  <si>
    <t>Шкаф-купе</t>
  </si>
  <si>
    <t>Купе 2</t>
  </si>
  <si>
    <t>пристенная</t>
  </si>
  <si>
    <t>Нижняя тумба сквозная</t>
  </si>
  <si>
    <t>Двери с обеих сторон</t>
  </si>
  <si>
    <t>разделительная</t>
  </si>
  <si>
    <t>комбинированный</t>
  </si>
  <si>
    <t>для документов</t>
  </si>
  <si>
    <t>Шкаф - купе</t>
  </si>
  <si>
    <t>800*500*1200</t>
  </si>
  <si>
    <t>680*680*1800</t>
  </si>
  <si>
    <t>800*500*1800</t>
  </si>
  <si>
    <t>680*680*2000</t>
  </si>
  <si>
    <t>800*500*2000</t>
  </si>
  <si>
    <t>Сб.1</t>
  </si>
  <si>
    <t>Стеллаж</t>
  </si>
  <si>
    <t>Сб.2</t>
  </si>
  <si>
    <t>Сб.3</t>
  </si>
  <si>
    <t>Сб.4</t>
  </si>
  <si>
    <t>Сб.5</t>
  </si>
  <si>
    <t>Сб.6</t>
  </si>
  <si>
    <t>Сб.7</t>
  </si>
  <si>
    <t>с горизонт. полками</t>
  </si>
  <si>
    <t>угловой</t>
  </si>
  <si>
    <t>2-х сторонний</t>
  </si>
  <si>
    <t>(металлокаркас)</t>
  </si>
  <si>
    <t>900*270*1900</t>
  </si>
  <si>
    <t>425*425*1900</t>
  </si>
  <si>
    <t>900*450*1900</t>
  </si>
  <si>
    <t>Сб.8</t>
  </si>
  <si>
    <t>Сб.к.1</t>
  </si>
  <si>
    <t>ШБ.1</t>
  </si>
  <si>
    <t>Шкаф-стеллаж</t>
  </si>
  <si>
    <t>ШБ.2</t>
  </si>
  <si>
    <t>ШБ.3</t>
  </si>
  <si>
    <t>ШБ.4</t>
  </si>
  <si>
    <t>ШБ.5</t>
  </si>
  <si>
    <t>открытый</t>
  </si>
  <si>
    <t>3-х сторонний</t>
  </si>
  <si>
    <t>850*250*1900</t>
  </si>
  <si>
    <t>2500*250*1900</t>
  </si>
  <si>
    <t>850*450*1900</t>
  </si>
  <si>
    <t>ШБ.к.1</t>
  </si>
  <si>
    <t>ШБ.к.2</t>
  </si>
  <si>
    <t>Сб.Н.1</t>
  </si>
  <si>
    <t>ШБ.Кт.1</t>
  </si>
  <si>
    <t>ШБ.Кт.2</t>
  </si>
  <si>
    <t>ШБ.Кт.3</t>
  </si>
  <si>
    <t>ШБ.Кт.4</t>
  </si>
  <si>
    <t>1-сторонний</t>
  </si>
  <si>
    <t xml:space="preserve"> наклонный</t>
  </si>
  <si>
    <t xml:space="preserve"> каталожный</t>
  </si>
  <si>
    <t>1-секционный</t>
  </si>
  <si>
    <t>2-х секционный</t>
  </si>
  <si>
    <t>3-х секционный</t>
  </si>
  <si>
    <t>опоры металлокаркас</t>
  </si>
  <si>
    <t>1600*250*1900</t>
  </si>
  <si>
    <t>1600*450*1900</t>
  </si>
  <si>
    <t>1210*500*1050</t>
  </si>
  <si>
    <t>1210*500*1270</t>
  </si>
  <si>
    <t>1210*500*1500</t>
  </si>
  <si>
    <t>В.Б.1</t>
  </si>
  <si>
    <t>Шкаф-витрина</t>
  </si>
  <si>
    <t>В.Б.2</t>
  </si>
  <si>
    <t>В.Б.3</t>
  </si>
  <si>
    <t>Витрина</t>
  </si>
  <si>
    <t>В.Б.4</t>
  </si>
  <si>
    <t>СБ.Г.1</t>
  </si>
  <si>
    <t>СБ.Г.2</t>
  </si>
  <si>
    <t>СБ.Г.3</t>
  </si>
  <si>
    <t>для газет</t>
  </si>
  <si>
    <t>800*250*1500</t>
  </si>
  <si>
    <t>800*250*2000</t>
  </si>
  <si>
    <t>800*500*1500</t>
  </si>
  <si>
    <t>500*650*1800</t>
  </si>
  <si>
    <t>1000*650*1800</t>
  </si>
  <si>
    <t>450*450*1800</t>
  </si>
  <si>
    <t>Ст.Б.1</t>
  </si>
  <si>
    <t>Ст.Б.2</t>
  </si>
  <si>
    <t>Ст.Б.3</t>
  </si>
  <si>
    <t>Ст.Б.4</t>
  </si>
  <si>
    <t>Ст.Б.5</t>
  </si>
  <si>
    <t>Ст.Б.6</t>
  </si>
  <si>
    <t>Ст.Б.7</t>
  </si>
  <si>
    <t xml:space="preserve"> для читателя</t>
  </si>
  <si>
    <t>1200*500*760</t>
  </si>
  <si>
    <t>1200*500*750</t>
  </si>
  <si>
    <t>1000*1000*750</t>
  </si>
  <si>
    <t>Ст.Б.К.1</t>
  </si>
  <si>
    <t>Стол-кафедра</t>
  </si>
  <si>
    <t>Ст.Б.К.2</t>
  </si>
  <si>
    <t>Ст.Б.К.3</t>
  </si>
  <si>
    <t>Ст.Б.Б.1</t>
  </si>
  <si>
    <t>Стол-барьер</t>
  </si>
  <si>
    <t>Ст.Б.Б.2</t>
  </si>
  <si>
    <t>В.Б.Н.1</t>
  </si>
  <si>
    <t>В.Б.Н.2</t>
  </si>
  <si>
    <t>открытая настенная</t>
  </si>
  <si>
    <t>закрытая настенная</t>
  </si>
  <si>
    <t>1200*650*750</t>
  </si>
  <si>
    <t>1600*650*750</t>
  </si>
  <si>
    <t>1150*420*890</t>
  </si>
  <si>
    <t>1000*230*750</t>
  </si>
  <si>
    <t>1055*230*760</t>
  </si>
  <si>
    <t>В.Б.Н.3</t>
  </si>
  <si>
    <t>В.Б.Н.4</t>
  </si>
  <si>
    <t>В.Б.Н.5</t>
  </si>
  <si>
    <t>Шб.Ф.1</t>
  </si>
  <si>
    <t>Шб.Ф.2</t>
  </si>
  <si>
    <t>Шб.Ф.3</t>
  </si>
  <si>
    <t>Шб.Ф.4</t>
  </si>
  <si>
    <t>открытая напольная</t>
  </si>
  <si>
    <t>2-х сторонняя</t>
  </si>
  <si>
    <t>для формуляров</t>
  </si>
  <si>
    <t>1000*230*1700</t>
  </si>
  <si>
    <t>800*450*1500</t>
  </si>
  <si>
    <t>450*450*2000</t>
  </si>
  <si>
    <t>400*400*800</t>
  </si>
  <si>
    <t>1000*450*800</t>
  </si>
  <si>
    <t xml:space="preserve">                        Мебель для библиотек</t>
  </si>
  <si>
    <t>Цвета спинок и сидений для стула ученического СТ.П.1</t>
  </si>
  <si>
    <t>№
 п/п</t>
  </si>
  <si>
    <t>Наименование</t>
  </si>
  <si>
    <t>Характеристики</t>
  </si>
  <si>
    <t>Изображение</t>
  </si>
  <si>
    <t>Цена за ед.
без НДС</t>
  </si>
  <si>
    <t>Доска магнитная под мел.
1-раб.поверхность</t>
  </si>
  <si>
    <t>750х500</t>
  </si>
  <si>
    <t>1000х750</t>
  </si>
  <si>
    <t>1000х850</t>
  </si>
  <si>
    <t>1200х1000</t>
  </si>
  <si>
    <t>1500х1200</t>
  </si>
  <si>
    <t>1700х1000</t>
  </si>
  <si>
    <t>1800х1200</t>
  </si>
  <si>
    <t>2000х1000</t>
  </si>
  <si>
    <t>2000х1200</t>
  </si>
  <si>
    <t>Доска магнитная под маркер
1-раб.поверхность</t>
  </si>
  <si>
    <t>Доска магнитная под мел
3-раб.поверхность</t>
  </si>
  <si>
    <t>2250х1000</t>
  </si>
  <si>
    <t>Доска магнитная под мел 
3-раб.поверхность</t>
  </si>
  <si>
    <t>2550х1000</t>
  </si>
  <si>
    <t>Доска магнитная под маркер
3-раб.поверхность</t>
  </si>
  <si>
    <t>Доска магнитная под мел
5-раб.поверхность</t>
  </si>
  <si>
    <t>2000х750</t>
  </si>
  <si>
    <t>2000х850</t>
  </si>
  <si>
    <t>2400х1000</t>
  </si>
  <si>
    <t>3000х1200</t>
  </si>
  <si>
    <t>3400х1000</t>
  </si>
  <si>
    <t>4000х1000</t>
  </si>
  <si>
    <t>4000х1200</t>
  </si>
  <si>
    <t>Доска магнитная под маркер
5-раб.поверхность</t>
  </si>
  <si>
    <t>Доски школьные</t>
  </si>
  <si>
    <t>Стул ученический "Эталон" SIGMA регулируемый 5 - 7 гр.</t>
  </si>
  <si>
    <t>Стул ученический "Эталон" STAND UP регулируемый 3 - 5 гр.</t>
  </si>
  <si>
    <t xml:space="preserve"> ЛДСП Клен Танзай 16 мм. (600х500х580/640/700 мм.)
ЛДСП Серый Камень 16 мм. (600х500х580/640/700 мм.)
3.RAL 9006 (Бело-алюминиевый)</t>
  </si>
  <si>
    <t>ЛДСП Клен Танзай 16 мм. (1200х500х580/640/700 мм.)
ЛДСП Серый Камень 16 мм. (1200х500х580/640/700 мм.)
3.RAL 9006 (Бело-алюминиевый)</t>
  </si>
  <si>
    <t xml:space="preserve">ЛДСП Клен Танзай 16 мм. R=50 (600х500х580/640/700 мм.)
ЛДСП Серый Камень 16 мм. R=50 (600х500х580/640/700 мм.
3.RAL 9006 (Бело-алюминиевый)
</t>
  </si>
  <si>
    <t xml:space="preserve">ЛДСП Клен Танзай 16мм. R=50 (1200х500х580/640/700 мм.)
ЛДСП Серый Камень 16мм. R=50 (1200х500х580/640/700 мм.)
3.RAL 9006 (Бело-алюминиевый)
</t>
  </si>
  <si>
    <t xml:space="preserve">    Серия "Эталон"</t>
  </si>
  <si>
    <t>Стол ученический "Эталон", 1 местный регулируемый с закруглением углов</t>
  </si>
  <si>
    <t>Стол ученический "Эталон", 2 местный регулируемый с закруглением углов</t>
  </si>
  <si>
    <t>Стол ученический "Эталон", 1 местный регулируемый с прямым углом</t>
  </si>
  <si>
    <t>Стол ученический "Эталон", 2 местный регулируемый с прямым углом</t>
  </si>
  <si>
    <t>Цвет каркаса- 3.RAL 9006 (Бело-алюминиевый)
Цвет пластиковых сиденья и спинки на выбор- Бордово-фиолетовый, Бежевый, Белый , Желто зеленый, Желтый, Красный, Мята, Небесно-голубой, Оранжевый, Салатовый, Серый, Сине-голубой, Синий, Темно-зеленый, Черный</t>
  </si>
  <si>
    <t>Цвет каркаса- 3.RAL 9006 (Бело-алюминиевый)
Цвет пластиковых сиденья и спинки на выбор- Бежевый, Белый, Желтый, Зеленый, Красный, Оранжевый, Серый, Синий</t>
  </si>
  <si>
    <t>Стул ученический "Эталон" регулируемый</t>
  </si>
  <si>
    <t>3.RAL 9006 (Бело-алюминиевый)
Спинка и сиденье- фанера</t>
  </si>
  <si>
    <t>Просмотреть проект школьного класса серии "Эталон"</t>
  </si>
  <si>
    <t>2. Серия "Бюджет"</t>
  </si>
  <si>
    <t>3. Серия "Эталон"</t>
  </si>
  <si>
    <t>Модульные системы хранения</t>
  </si>
  <si>
    <t>Уточняйте</t>
  </si>
  <si>
    <t>Моудльная система "ОМЕГА" 
1 тип</t>
  </si>
  <si>
    <t>Моудльная система "ОМЕГА" 
2 тип</t>
  </si>
  <si>
    <t>Моудльная система "ОМЕГА" 
3 тип</t>
  </si>
  <si>
    <t>Моудльная система "ОМЕГА" 
4 тип</t>
  </si>
  <si>
    <t>Если Вы не нашли нужный товар, то Вы можете обратиться к нам с Вашими пожеланиями, и мы постараемся Вам помочь в кратчайшие сроки.</t>
  </si>
  <si>
    <t>тел:+7 (914) 443-43-97 
тел:+7 (914) 433-43-97</t>
  </si>
  <si>
    <t>г.Чита, Анохина 93, ТЦ "PLAZA", офис 27  |  сайт: www.furnizab.ru  |  e-mail: mail@furnizab.ru  |  тел:+7 (914) 443-43-97, +7 (914) 433-43-97</t>
  </si>
  <si>
    <t>г.Чита, Анохина 93, ТЦ "PLAZA", офис 27  |  сайт: www.furnizab.ru  |  e-mail: mail@furnizab.ru  |  
тел:+7 (914) 443-43-97, +7 (914) 433-43-97</t>
  </si>
  <si>
    <t xml:space="preserve">г.Чита, Анохина 93, ТЦ "PLAZA", офис 27  |  сайт: www.furnizab.ru  |  e-mail: mail@furnizab.ru  | 
тел:+7 (914) 443-43-97, +7 (914) 433-43-97 </t>
  </si>
  <si>
    <t xml:space="preserve">г.Чита, Анохина 93, ТЦ "PLAZA", офис 27  |  сайт: www.furnizab.ru  |  e-mail: mail@furnizab.ru  |
  тел:+7 (914) 443-43-97, +7 (914) 433-43-97 </t>
  </si>
  <si>
    <t xml:space="preserve">    Серия "Оптима"</t>
  </si>
  <si>
    <t>Просмотреть проект школьного класса серии "Оптима"</t>
  </si>
  <si>
    <t>Стол ученический с наклоном столешницы «Оптима» 1 — местный, регулируемый, экран и столешница ЛДСП 22 мм., клен танзай</t>
  </si>
  <si>
    <t>Стол ученический «Оптима» 1 — местный, регулируемый,  экран и столешница ЛДСП 22 мм., клен танзай.</t>
  </si>
  <si>
    <t>Стол ученический «Оптима» 1 — местный, регулируемый, столешница и экран ЛДСП клён танзай 22 мм.</t>
  </si>
  <si>
    <t xml:space="preserve">4.Муар RAL 2004 (Чистый оранжевый)
4.Муар RAL 5005 (Сигнальный синий)
4.Муар RAL 6005 (Зеленый мох)
4.Муар RAL 7035 (Светло-серый)
</t>
  </si>
  <si>
    <t>Стол ученический «Оптима» 1 — местный, регулируемый, столешница и экран ЛДСП серый камень 22 мм.</t>
  </si>
  <si>
    <t>Стол ученический «Оптима» 1 — местный, фиксированный, столешница и экран ЛДСП клён танзай 22 мм.</t>
  </si>
  <si>
    <t>Стол ученический «Оптима» 2 — местный, регулируемый, столешница и экран ЛДСП клён танзай 22 мм.</t>
  </si>
  <si>
    <t>4.Муар RAL 2004 (Чистый оранжевый)
4.Муар RAL 5005 (Сигнальный синий)
4.Муар RAL 6005 (Зеленый мох)
4.Муар RAL 7035 (Светло-серый)</t>
  </si>
  <si>
    <t>Стол ученический «Оптима» 2 — местный, регулируемый, столешница и экран ЛДСП серый камень 22 мм.</t>
  </si>
  <si>
    <t>Стол ученический «Оптима» 2 — местный, фиксированный, столешница и экран ЛДСП клён танзай 22 мм.</t>
  </si>
  <si>
    <t>Стол ученический «Оптима» LITE 1 — местный, регулируемый, столешница и экран ЛДСП клён танзай 22 мм.</t>
  </si>
  <si>
    <t>Стол ученический «Оптима» LITE 2 — местный, регулируемый, столешница и экран ЛДСП серый камень 22 мм.</t>
  </si>
  <si>
    <t>Стол ученический «Оптима» LITE 2 — местный, регулируемый, столешница и экран ЛДСП клён танзай 22 мм.</t>
  </si>
  <si>
    <t>Стол ученический «Оптима» LITE 1 — местный, регулируемый, столешница и экран ЛДСП серый камень 22 мм.</t>
  </si>
  <si>
    <t>4.Муар RAL 2004(Чистый оранжевый)
4.Муар RAL 5005 (Сигнальный синий)
4.Муар RAL 6005 (Зеленый мох)
4.Муар RAL 7035 (Светло-серый)</t>
  </si>
  <si>
    <t xml:space="preserve">4.Муар RAL 2004(Чистый оранжевый)
4.Муар RAL 5005 (Сигнальный синий)
4.Муар RAL 6005 (Зеленый мох)
4.Муар RAL 7035 (Светло-серый)
</t>
  </si>
  <si>
    <t>Столешница с литой бесшовной кромкой темно-серого цвета, интегрированным лотком для письменных принадлежностей, упором для тетрадей изготовленные по технологии PUR RIM. По периметру кромки на тыльной стороне столешницы допускаются пустотные образования. 
4.Муар RAL 2004(Чистый оранжевый)
4.Муар RAL 5005 (Сигнальный синий)
4.Муар RAL 6005 (Зеленый мох)
4.Муар RAL 7035 (Светло-серый)</t>
  </si>
  <si>
    <t>Стол ученический с наклоном столешницы «Оптима» 1 — местный, регулируемый, столешница и экран ЛДСП клён танзай 22 мм.</t>
  </si>
  <si>
    <t>Стол ученический с наклоном столешницы «Оптима» 1 — местный, регулируемый, столешница и экран ЛДСП серый камень 22 мм.</t>
  </si>
  <si>
    <t>.Стол ученический с наклоном столешницы «Оптима» 2 — местный, регулируемый, столешница и экран ЛДСП клён танзай 22 мм.</t>
  </si>
  <si>
    <t>.Стол ученический с наклоном столешницы «Оптима» 2 — местный, регулируемый, столешница и экран ЛДСП серый камень 22 мм.</t>
  </si>
  <si>
    <t xml:space="preserve">4.Муар RAL 7035 (Светло-серый), Спинки и сиденья RAL 3002 (красный)
4.Муар RAL 7035 (Светло-серый), Спинки и сиденья RAL 5002 (синий)
4.Муар RAL 7035 (Светло-серый), Спинки и сиденья RAL 7040 (серый)
</t>
  </si>
  <si>
    <t>Стул ученический «Оптима», фанера крашенная, регулируемый</t>
  </si>
  <si>
    <t>Стул ученический «Оптима», фанера крашенная, фиксированный</t>
  </si>
  <si>
    <t>5. Шкафы</t>
  </si>
  <si>
    <t>6. Модульные системы хранения</t>
  </si>
  <si>
    <t>7. Столы письменные</t>
  </si>
  <si>
    <t>8. Тумбы</t>
  </si>
  <si>
    <t>9. Библиотечная мебель</t>
  </si>
  <si>
    <t>10. Доски школьные</t>
  </si>
  <si>
    <t>4. Серия "Оптима"</t>
  </si>
  <si>
    <t xml:space="preserve">Т.Д.2 </t>
  </si>
  <si>
    <t>Доска аудиторная 3-элементная Д.2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</si>
</sst>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р.&quot;"/>
    <numFmt numFmtId="165" formatCode="#,##0\ &quot;₽&quot;"/>
  </numFmts>
  <fonts count="3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u/>
      <sz val="11"/>
      <color theme="10"/>
      <name val="Calibri"/>
      <family val="2"/>
      <scheme val="minor"/>
    </font>
    <font>
      <sz val="10"/>
      <name val="Arial Cyr"/>
    </font>
    <font>
      <u/>
      <sz val="10"/>
      <color theme="10"/>
      <name val="Arial Cyr"/>
    </font>
    <font>
      <b/>
      <sz val="10"/>
      <color theme="1"/>
      <name val="Arial"/>
      <family val="2"/>
      <charset val="204"/>
    </font>
    <font>
      <b/>
      <sz val="14"/>
      <color theme="1"/>
      <name val="Arial"/>
      <family val="2"/>
      <charset val="204"/>
    </font>
    <font>
      <b/>
      <sz val="16"/>
      <color theme="1"/>
      <name val="Arial"/>
      <family val="2"/>
      <charset val="204"/>
    </font>
    <font>
      <b/>
      <u/>
      <sz val="7"/>
      <color theme="1"/>
      <name val="Arial"/>
      <family val="2"/>
      <charset val="204"/>
    </font>
    <font>
      <b/>
      <sz val="7"/>
      <color theme="1"/>
      <name val="Arial"/>
      <family val="2"/>
      <charset val="204"/>
    </font>
    <font>
      <b/>
      <sz val="7"/>
      <name val="Arial"/>
      <family val="2"/>
      <charset val="204"/>
    </font>
    <font>
      <b/>
      <sz val="9"/>
      <color theme="1"/>
      <name val="Arial"/>
      <family val="2"/>
      <charset val="204"/>
    </font>
    <font>
      <b/>
      <sz val="6"/>
      <color theme="1"/>
      <name val="Arial"/>
      <family val="2"/>
      <charset val="204"/>
    </font>
    <font>
      <b/>
      <sz val="14"/>
      <color theme="5"/>
      <name val="Arial"/>
      <family val="2"/>
      <charset val="204"/>
    </font>
    <font>
      <b/>
      <sz val="8"/>
      <color theme="1"/>
      <name val="Arial"/>
      <family val="2"/>
      <charset val="204"/>
    </font>
    <font>
      <b/>
      <sz val="6"/>
      <color theme="1"/>
      <name val="Calibri"/>
      <family val="2"/>
      <charset val="204"/>
      <scheme val="minor"/>
    </font>
    <font>
      <b/>
      <sz val="7"/>
      <color theme="5"/>
      <name val="Arial"/>
      <family val="2"/>
      <charset val="204"/>
    </font>
    <font>
      <b/>
      <u/>
      <sz val="11"/>
      <color theme="10"/>
      <name val="Calibri"/>
      <family val="2"/>
      <charset val="204"/>
      <scheme val="minor"/>
    </font>
    <font>
      <sz val="6"/>
      <color theme="1"/>
      <name val="Calibri"/>
      <family val="2"/>
      <charset val="204"/>
      <scheme val="minor"/>
    </font>
    <font>
      <b/>
      <sz val="14"/>
      <color theme="5"/>
      <name val="Calibri"/>
      <family val="2"/>
      <charset val="204"/>
      <scheme val="minor"/>
    </font>
    <font>
      <b/>
      <sz val="10"/>
      <name val="Arial"/>
      <family val="2"/>
      <charset val="204"/>
    </font>
    <font>
      <b/>
      <sz val="11"/>
      <color theme="10"/>
      <name val="Arial"/>
      <family val="2"/>
      <charset val="204"/>
    </font>
    <font>
      <b/>
      <u/>
      <sz val="7"/>
      <color rgb="FFFF0000"/>
      <name val="Arial"/>
      <family val="2"/>
      <charset val="204"/>
    </font>
    <font>
      <b/>
      <sz val="12"/>
      <color theme="1"/>
      <name val="Arial"/>
      <family val="2"/>
      <charset val="204"/>
    </font>
    <font>
      <sz val="8"/>
      <name val="Arial"/>
      <family val="2"/>
    </font>
    <font>
      <sz val="12"/>
      <name val="Arial"/>
      <family val="2"/>
      <charset val="204"/>
    </font>
    <font>
      <b/>
      <u/>
      <sz val="11"/>
      <color theme="10"/>
      <name val="Arial"/>
      <family val="2"/>
      <charset val="204"/>
    </font>
    <font>
      <sz val="11"/>
      <name val="Arial"/>
      <family val="2"/>
      <charset val="204"/>
    </font>
    <font>
      <b/>
      <sz val="16"/>
      <name val="Arial"/>
      <family val="2"/>
      <charset val="204"/>
    </font>
    <font>
      <sz val="11"/>
      <color theme="5"/>
      <name val="Arial"/>
      <family val="2"/>
      <charset val="204"/>
    </font>
    <font>
      <u/>
      <sz val="11"/>
      <color theme="10"/>
      <name val="Arial"/>
      <family val="2"/>
      <charset val="204"/>
    </font>
    <font>
      <sz val="11"/>
      <color theme="10"/>
      <name val="Arial"/>
      <family val="2"/>
      <charset val="204"/>
    </font>
    <font>
      <b/>
      <sz val="11"/>
      <color rgb="FF0070C0"/>
      <name val="Arial"/>
      <family val="2"/>
      <charset val="204"/>
    </font>
    <font>
      <sz val="10"/>
      <name val="Arial"/>
      <family val="2"/>
      <charset val="204"/>
    </font>
    <font>
      <sz val="14"/>
      <color theme="1"/>
      <name val="Arial"/>
      <family val="2"/>
      <charset val="204"/>
    </font>
  </fonts>
  <fills count="8">
    <fill>
      <patternFill patternType="none"/>
    </fill>
    <fill>
      <patternFill patternType="gray125"/>
    </fill>
    <fill>
      <patternFill patternType="solid">
        <fgColor rgb="FF92D050"/>
        <bgColor indexed="64"/>
      </patternFill>
    </fill>
    <fill>
      <patternFill patternType="solid">
        <fgColor theme="5"/>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indexed="9"/>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1" tint="0.499984740745262"/>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1" tint="0.499984740745262"/>
      </right>
      <top style="thin">
        <color theme="0" tint="-0.499984740745262"/>
      </top>
      <bottom/>
      <diagonal/>
    </border>
    <border>
      <left style="thin">
        <color theme="1"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right style="thin">
        <color theme="0" tint="-0.499984740745262"/>
      </right>
      <top/>
      <bottom style="thin">
        <color theme="1" tint="0.499984740745262"/>
      </bottom>
      <diagonal/>
    </border>
    <border>
      <left style="thin">
        <color indexed="64"/>
      </left>
      <right/>
      <top/>
      <bottom style="thin">
        <color indexed="64"/>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indexed="64"/>
      </top>
      <bottom/>
      <diagonal/>
    </border>
    <border>
      <left style="thin">
        <color theme="1" tint="0.499984740745262"/>
      </left>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top style="thin">
        <color indexed="64"/>
      </top>
      <bottom/>
      <diagonal/>
    </border>
    <border>
      <left style="thin">
        <color theme="0"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1" tint="0.499984740745262"/>
      </right>
      <top style="thin">
        <color theme="0" tint="-0.499984740745262"/>
      </top>
      <bottom style="thin">
        <color theme="1" tint="0.499984740745262"/>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indexed="64"/>
      </top>
      <bottom/>
      <diagonal/>
    </border>
    <border>
      <left style="thin">
        <color theme="1" tint="0.499984740745262"/>
      </left>
      <right/>
      <top style="thin">
        <color indexed="64"/>
      </top>
      <bottom style="thin">
        <color theme="1" tint="0.499984740745262"/>
      </bottom>
      <diagonal/>
    </border>
    <border>
      <left/>
      <right/>
      <top style="thin">
        <color indexed="64"/>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indexed="64"/>
      </left>
      <right/>
      <top style="thin">
        <color theme="1" tint="0.499984740745262"/>
      </top>
      <bottom style="thin">
        <color theme="1" tint="0.499984740745262"/>
      </bottom>
      <diagonal/>
    </border>
    <border>
      <left/>
      <right style="thin">
        <color indexed="64"/>
      </right>
      <top style="thin">
        <color theme="0" tint="-0.499984740745262"/>
      </top>
      <bottom/>
      <diagonal/>
    </border>
    <border>
      <left style="thin">
        <color indexed="64"/>
      </left>
      <right style="thin">
        <color indexed="64"/>
      </right>
      <top/>
      <bottom/>
      <diagonal/>
    </border>
    <border>
      <left style="thin">
        <color indexed="64"/>
      </left>
      <right/>
      <top style="thin">
        <color indexed="64"/>
      </top>
      <bottom style="thin">
        <color theme="1" tint="0.499984740745262"/>
      </bottom>
      <diagonal/>
    </border>
    <border>
      <left/>
      <right style="thin">
        <color indexed="64"/>
      </right>
      <top style="thin">
        <color theme="0" tint="-0.499984740745262"/>
      </top>
      <bottom style="thin">
        <color indexed="64"/>
      </bottom>
      <diagonal/>
    </border>
    <border>
      <left/>
      <right style="thin">
        <color theme="0" tint="-0.499984740745262"/>
      </right>
      <top style="thin">
        <color theme="1" tint="0.499984740745262"/>
      </top>
      <bottom style="thin">
        <color indexed="64"/>
      </bottom>
      <diagonal/>
    </border>
    <border>
      <left style="thin">
        <color indexed="64"/>
      </left>
      <right/>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style="thin">
        <color indexed="64"/>
      </bottom>
      <diagonal/>
    </border>
    <border>
      <left/>
      <right style="thin">
        <color indexed="64"/>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
    <xf numFmtId="0" fontId="0" fillId="0" borderId="0"/>
    <xf numFmtId="0" fontId="5" fillId="0" borderId="0" applyNumberFormat="0" applyFill="0" applyBorder="0" applyAlignment="0" applyProtection="0"/>
    <xf numFmtId="0" fontId="6" fillId="0" borderId="0"/>
    <xf numFmtId="0" fontId="7" fillId="0" borderId="0" applyNumberFormat="0" applyFill="0" applyBorder="0" applyAlignment="0" applyProtection="0"/>
    <xf numFmtId="0" fontId="5" fillId="0" borderId="0" applyNumberFormat="0" applyFill="0" applyBorder="0" applyAlignment="0" applyProtection="0"/>
    <xf numFmtId="0" fontId="3" fillId="0" borderId="0"/>
    <xf numFmtId="0" fontId="2" fillId="0" borderId="0"/>
    <xf numFmtId="0" fontId="1" fillId="0" borderId="0"/>
    <xf numFmtId="0" fontId="27" fillId="0" borderId="0"/>
  </cellStyleXfs>
  <cellXfs count="580">
    <xf numFmtId="0" fontId="0" fillId="0" borderId="0" xfId="0"/>
    <xf numFmtId="164" fontId="11" fillId="0" borderId="0" xfId="0" applyNumberFormat="1" applyFont="1" applyAlignment="1">
      <alignment horizontal="center" vertical="center"/>
    </xf>
    <xf numFmtId="164" fontId="12" fillId="2" borderId="1" xfId="0" applyNumberFormat="1" applyFont="1" applyFill="1" applyBorder="1" applyAlignment="1">
      <alignment vertical="center"/>
    </xf>
    <xf numFmtId="164" fontId="12" fillId="0" borderId="1" xfId="0" applyNumberFormat="1" applyFont="1" applyBorder="1" applyAlignment="1">
      <alignment vertical="center"/>
    </xf>
    <xf numFmtId="0" fontId="10" fillId="0" borderId="0" xfId="0" applyFont="1" applyAlignment="1">
      <alignment horizontal="center" vertical="center"/>
    </xf>
    <xf numFmtId="164" fontId="12" fillId="2" borderId="0" xfId="0" applyNumberFormat="1" applyFont="1" applyFill="1" applyAlignment="1">
      <alignment vertical="center"/>
    </xf>
    <xf numFmtId="164" fontId="12" fillId="0" borderId="0" xfId="0" applyNumberFormat="1" applyFont="1" applyAlignment="1">
      <alignment vertical="center"/>
    </xf>
    <xf numFmtId="0" fontId="10" fillId="3" borderId="7" xfId="0" applyFont="1" applyFill="1" applyBorder="1" applyAlignment="1">
      <alignment vertical="center"/>
    </xf>
    <xf numFmtId="0" fontId="12" fillId="0" borderId="0" xfId="0" applyFont="1" applyAlignment="1">
      <alignment horizontal="center" vertical="center"/>
    </xf>
    <xf numFmtId="164" fontId="11" fillId="2" borderId="0" xfId="0" applyNumberFormat="1" applyFont="1" applyFill="1" applyAlignment="1">
      <alignment vertical="center"/>
    </xf>
    <xf numFmtId="0" fontId="12" fillId="2" borderId="0" xfId="0" applyFont="1" applyFill="1" applyAlignment="1">
      <alignment horizontal="center" vertical="center"/>
    </xf>
    <xf numFmtId="164" fontId="11" fillId="0" borderId="30" xfId="0" applyNumberFormat="1" applyFont="1" applyBorder="1" applyAlignment="1">
      <alignment horizontal="left" vertical="center"/>
    </xf>
    <xf numFmtId="164" fontId="12" fillId="0" borderId="30" xfId="0" applyNumberFormat="1" applyFont="1" applyBorder="1" applyAlignment="1">
      <alignment horizontal="left" vertical="top"/>
    </xf>
    <xf numFmtId="0" fontId="12" fillId="0" borderId="0" xfId="0" applyFont="1" applyAlignment="1">
      <alignment vertical="center"/>
    </xf>
    <xf numFmtId="164" fontId="12" fillId="0" borderId="27" xfId="0" applyNumberFormat="1" applyFont="1" applyBorder="1" applyAlignment="1">
      <alignment horizontal="left" vertical="top"/>
    </xf>
    <xf numFmtId="0" fontId="15" fillId="0" borderId="0" xfId="0" applyFont="1" applyAlignment="1">
      <alignment vertical="center"/>
    </xf>
    <xf numFmtId="164" fontId="12" fillId="0" borderId="26" xfId="0" applyNumberFormat="1" applyFont="1" applyBorder="1" applyAlignment="1">
      <alignment horizontal="left" vertical="top"/>
    </xf>
    <xf numFmtId="164" fontId="12" fillId="0" borderId="0" xfId="0" applyNumberFormat="1" applyFont="1" applyAlignment="1">
      <alignment horizontal="left" vertical="top"/>
    </xf>
    <xf numFmtId="0" fontId="12" fillId="0" borderId="0" xfId="0" applyFont="1" applyAlignment="1">
      <alignment horizontal="left" vertical="center"/>
    </xf>
    <xf numFmtId="164" fontId="12" fillId="0" borderId="1" xfId="0" applyNumberFormat="1" applyFont="1" applyBorder="1" applyAlignment="1">
      <alignment horizontal="left" vertical="top"/>
    </xf>
    <xf numFmtId="164" fontId="14" fillId="0" borderId="0" xfId="0" applyNumberFormat="1" applyFont="1" applyAlignment="1">
      <alignment horizontal="left" vertical="center"/>
    </xf>
    <xf numFmtId="164" fontId="17" fillId="0" borderId="0" xfId="0" applyNumberFormat="1" applyFont="1" applyAlignment="1">
      <alignment horizontal="left" vertical="center"/>
    </xf>
    <xf numFmtId="0" fontId="14" fillId="0" borderId="0" xfId="0" applyFont="1" applyAlignment="1">
      <alignment vertical="center"/>
    </xf>
    <xf numFmtId="0" fontId="17" fillId="0" borderId="0" xfId="0" applyFont="1" applyAlignment="1">
      <alignment vertical="center"/>
    </xf>
    <xf numFmtId="164" fontId="12" fillId="0" borderId="6" xfId="0" applyNumberFormat="1" applyFont="1" applyBorder="1" applyAlignment="1">
      <alignment vertical="center"/>
    </xf>
    <xf numFmtId="164" fontId="12" fillId="2" borderId="8" xfId="0" applyNumberFormat="1" applyFont="1" applyFill="1" applyBorder="1" applyAlignment="1">
      <alignment vertical="center"/>
    </xf>
    <xf numFmtId="164" fontId="12" fillId="3" borderId="7" xfId="0" applyNumberFormat="1" applyFont="1" applyFill="1" applyBorder="1" applyAlignment="1">
      <alignment horizontal="center" vertical="center"/>
    </xf>
    <xf numFmtId="164" fontId="12" fillId="3" borderId="8" xfId="0" applyNumberFormat="1" applyFont="1" applyFill="1" applyBorder="1" applyAlignment="1">
      <alignment horizontal="center" vertical="center"/>
    </xf>
    <xf numFmtId="164" fontId="12" fillId="0" borderId="37" xfId="0" applyNumberFormat="1" applyFont="1" applyBorder="1" applyAlignment="1">
      <alignment vertical="center"/>
    </xf>
    <xf numFmtId="164" fontId="12" fillId="3" borderId="7" xfId="0" applyNumberFormat="1" applyFont="1" applyFill="1" applyBorder="1" applyAlignment="1">
      <alignment horizontal="left" vertical="center"/>
    </xf>
    <xf numFmtId="164" fontId="12" fillId="3" borderId="7" xfId="0" applyNumberFormat="1" applyFont="1" applyFill="1" applyBorder="1" applyAlignment="1">
      <alignment vertical="center"/>
    </xf>
    <xf numFmtId="164" fontId="12" fillId="0" borderId="55" xfId="0" applyNumberFormat="1" applyFont="1" applyBorder="1" applyAlignment="1">
      <alignment horizontal="left" vertical="top"/>
    </xf>
    <xf numFmtId="164" fontId="11" fillId="0" borderId="30" xfId="0" applyNumberFormat="1" applyFont="1" applyBorder="1" applyAlignment="1">
      <alignment horizontal="center" vertical="center"/>
    </xf>
    <xf numFmtId="164" fontId="11" fillId="0" borderId="27" xfId="0" applyNumberFormat="1" applyFont="1" applyBorder="1" applyAlignment="1">
      <alignment horizontal="center" vertical="center"/>
    </xf>
    <xf numFmtId="164" fontId="11" fillId="0" borderId="0" xfId="0" applyNumberFormat="1" applyFont="1" applyAlignment="1">
      <alignment vertical="center" wrapText="1"/>
    </xf>
    <xf numFmtId="164" fontId="11" fillId="0" borderId="0" xfId="0" applyNumberFormat="1" applyFont="1" applyAlignment="1">
      <alignment vertical="center"/>
    </xf>
    <xf numFmtId="164" fontId="11" fillId="0" borderId="26" xfId="0" applyNumberFormat="1" applyFont="1" applyBorder="1" applyAlignment="1">
      <alignment horizontal="center" vertical="center"/>
    </xf>
    <xf numFmtId="164" fontId="11" fillId="0" borderId="13" xfId="0" applyNumberFormat="1" applyFont="1" applyBorder="1" applyAlignment="1">
      <alignment horizontal="center" vertical="center"/>
    </xf>
    <xf numFmtId="164" fontId="11" fillId="0" borderId="30" xfId="0" applyNumberFormat="1" applyFont="1" applyBorder="1" applyAlignment="1">
      <alignment vertical="center"/>
    </xf>
    <xf numFmtId="164" fontId="11" fillId="0" borderId="27" xfId="0" applyNumberFormat="1" applyFont="1" applyBorder="1" applyAlignment="1">
      <alignment vertical="center"/>
    </xf>
    <xf numFmtId="164" fontId="11" fillId="0" borderId="26" xfId="0" applyNumberFormat="1" applyFont="1" applyBorder="1" applyAlignment="1">
      <alignment vertical="center"/>
    </xf>
    <xf numFmtId="164" fontId="11" fillId="2" borderId="0" xfId="0" applyNumberFormat="1" applyFont="1" applyFill="1" applyAlignment="1">
      <alignment horizontal="center" vertical="center"/>
    </xf>
    <xf numFmtId="164" fontId="11" fillId="0" borderId="3" xfId="0" applyNumberFormat="1" applyFont="1" applyBorder="1" applyAlignment="1">
      <alignment vertical="center"/>
    </xf>
    <xf numFmtId="164" fontId="11" fillId="0" borderId="4" xfId="0" applyNumberFormat="1" applyFont="1" applyBorder="1" applyAlignment="1">
      <alignment vertical="center"/>
    </xf>
    <xf numFmtId="164" fontId="11" fillId="0" borderId="17" xfId="0" applyNumberFormat="1" applyFont="1" applyBorder="1" applyAlignment="1">
      <alignment vertical="center"/>
    </xf>
    <xf numFmtId="164" fontId="11" fillId="0" borderId="32" xfId="0" applyNumberFormat="1" applyFont="1" applyBorder="1" applyAlignment="1">
      <alignment vertical="center"/>
    </xf>
    <xf numFmtId="164" fontId="11" fillId="0" borderId="13" xfId="0" applyNumberFormat="1" applyFont="1" applyBorder="1" applyAlignment="1">
      <alignment vertical="center"/>
    </xf>
    <xf numFmtId="164" fontId="11" fillId="0" borderId="11" xfId="0" applyNumberFormat="1" applyFont="1" applyBorder="1" applyAlignment="1">
      <alignment vertical="center"/>
    </xf>
    <xf numFmtId="0" fontId="11" fillId="0" borderId="9" xfId="0" applyFont="1" applyBorder="1" applyAlignment="1">
      <alignment vertical="center"/>
    </xf>
    <xf numFmtId="164" fontId="11" fillId="0" borderId="10" xfId="0" applyNumberFormat="1" applyFont="1" applyBorder="1" applyAlignment="1">
      <alignment vertical="center"/>
    </xf>
    <xf numFmtId="164" fontId="11" fillId="0" borderId="12" xfId="0" applyNumberFormat="1" applyFont="1" applyBorder="1" applyAlignment="1">
      <alignment vertical="center"/>
    </xf>
    <xf numFmtId="0" fontId="11" fillId="0" borderId="3" xfId="0" applyFont="1" applyBorder="1" applyAlignment="1">
      <alignment vertical="center"/>
    </xf>
    <xf numFmtId="0" fontId="12" fillId="0" borderId="3" xfId="0" applyFont="1" applyBorder="1" applyAlignment="1">
      <alignment vertical="center"/>
    </xf>
    <xf numFmtId="0" fontId="12" fillId="0" borderId="33" xfId="0" applyFont="1" applyBorder="1" applyAlignment="1">
      <alignment vertical="center"/>
    </xf>
    <xf numFmtId="164" fontId="11" fillId="0" borderId="33" xfId="0" applyNumberFormat="1" applyFont="1" applyBorder="1" applyAlignment="1">
      <alignment vertical="center"/>
    </xf>
    <xf numFmtId="164" fontId="11" fillId="0" borderId="2" xfId="0" applyNumberFormat="1" applyFont="1" applyBorder="1" applyAlignment="1">
      <alignment vertical="center"/>
    </xf>
    <xf numFmtId="164" fontId="11" fillId="0" borderId="45" xfId="0" applyNumberFormat="1" applyFont="1" applyBorder="1" applyAlignment="1">
      <alignment vertical="center"/>
    </xf>
    <xf numFmtId="164" fontId="11" fillId="0" borderId="44" xfId="0" applyNumberFormat="1" applyFont="1" applyBorder="1" applyAlignment="1">
      <alignment vertical="center"/>
    </xf>
    <xf numFmtId="164" fontId="11" fillId="0" borderId="5" xfId="0" applyNumberFormat="1" applyFont="1" applyBorder="1" applyAlignment="1">
      <alignment vertical="center"/>
    </xf>
    <xf numFmtId="0" fontId="12" fillId="0" borderId="6" xfId="0" applyFont="1" applyBorder="1" applyAlignment="1">
      <alignment vertical="center"/>
    </xf>
    <xf numFmtId="0" fontId="12" fillId="3" borderId="6" xfId="0" applyFont="1" applyFill="1" applyBorder="1" applyAlignment="1">
      <alignment vertical="center"/>
    </xf>
    <xf numFmtId="164" fontId="12" fillId="5" borderId="12" xfId="0" applyNumberFormat="1" applyFont="1" applyFill="1" applyBorder="1" applyAlignment="1">
      <alignment vertical="center"/>
    </xf>
    <xf numFmtId="164" fontId="12" fillId="5" borderId="1" xfId="0" applyNumberFormat="1" applyFont="1" applyFill="1" applyBorder="1" applyAlignment="1">
      <alignment vertical="center"/>
    </xf>
    <xf numFmtId="0" fontId="8" fillId="0" borderId="0" xfId="0" applyFont="1" applyAlignment="1">
      <alignment vertical="center"/>
    </xf>
    <xf numFmtId="0" fontId="4" fillId="0" borderId="0" xfId="4" applyFont="1" applyFill="1" applyBorder="1" applyAlignment="1">
      <alignment vertical="center"/>
    </xf>
    <xf numFmtId="0" fontId="14" fillId="0" borderId="9" xfId="0" applyFont="1" applyBorder="1" applyAlignment="1">
      <alignment vertical="center"/>
    </xf>
    <xf numFmtId="0" fontId="15" fillId="0" borderId="10" xfId="0" applyFont="1" applyBorder="1" applyAlignment="1">
      <alignment vertical="center"/>
    </xf>
    <xf numFmtId="0" fontId="14" fillId="0" borderId="3" xfId="0" applyFont="1" applyBorder="1" applyAlignment="1">
      <alignment horizontal="center" vertical="center"/>
    </xf>
    <xf numFmtId="0" fontId="10" fillId="0" borderId="4" xfId="0" applyFont="1" applyBorder="1" applyAlignment="1">
      <alignment horizontal="center" vertical="center"/>
    </xf>
    <xf numFmtId="164" fontId="12" fillId="0" borderId="4" xfId="0" applyNumberFormat="1" applyFont="1" applyBorder="1" applyAlignment="1">
      <alignment horizontal="left" vertical="top"/>
    </xf>
    <xf numFmtId="164" fontId="12" fillId="0" borderId="3" xfId="0" applyNumberFormat="1" applyFont="1" applyBorder="1" applyAlignment="1">
      <alignment horizontal="left" vertical="top"/>
    </xf>
    <xf numFmtId="0" fontId="10" fillId="3" borderId="2" xfId="0" applyFont="1" applyFill="1" applyBorder="1" applyAlignment="1">
      <alignment vertical="center"/>
    </xf>
    <xf numFmtId="0" fontId="18" fillId="0" borderId="0" xfId="5" applyFont="1" applyAlignment="1">
      <alignment horizontal="center" vertical="center"/>
    </xf>
    <xf numFmtId="0" fontId="12" fillId="0" borderId="0" xfId="5" applyFont="1" applyAlignment="1">
      <alignment horizontal="center" vertical="center"/>
    </xf>
    <xf numFmtId="164" fontId="12" fillId="2" borderId="1" xfId="5" applyNumberFormat="1" applyFont="1" applyFill="1" applyBorder="1" applyAlignment="1">
      <alignment horizontal="left" vertical="center"/>
    </xf>
    <xf numFmtId="164" fontId="12" fillId="2" borderId="1" xfId="5" applyNumberFormat="1" applyFont="1" applyFill="1" applyBorder="1" applyAlignment="1">
      <alignment horizontal="center" vertical="center"/>
    </xf>
    <xf numFmtId="164" fontId="11" fillId="0" borderId="0" xfId="5" applyNumberFormat="1" applyFont="1" applyAlignment="1">
      <alignment horizontal="center" vertical="center"/>
    </xf>
    <xf numFmtId="164" fontId="11" fillId="0" borderId="26" xfId="5" applyNumberFormat="1" applyFont="1" applyBorder="1" applyAlignment="1">
      <alignment vertical="center"/>
    </xf>
    <xf numFmtId="164" fontId="11" fillId="0" borderId="0" xfId="5" applyNumberFormat="1" applyFont="1" applyAlignment="1">
      <alignment vertical="center"/>
    </xf>
    <xf numFmtId="164" fontId="11" fillId="0" borderId="13" xfId="5" applyNumberFormat="1" applyFont="1" applyBorder="1" applyAlignment="1">
      <alignment vertical="center"/>
    </xf>
    <xf numFmtId="0" fontId="20" fillId="0" borderId="0" xfId="1" applyFont="1" applyFill="1" applyBorder="1" applyAlignment="1">
      <alignment vertical="center" wrapText="1"/>
    </xf>
    <xf numFmtId="0" fontId="11" fillId="0" borderId="0" xfId="5" applyFont="1" applyAlignment="1">
      <alignment horizontal="center" vertical="center"/>
    </xf>
    <xf numFmtId="0" fontId="11" fillId="0" borderId="26" xfId="5" applyFont="1" applyBorder="1" applyAlignment="1">
      <alignment horizontal="center" vertical="center"/>
    </xf>
    <xf numFmtId="0" fontId="11" fillId="0" borderId="13" xfId="5" applyFont="1" applyBorder="1" applyAlignment="1">
      <alignment horizontal="center" vertical="center"/>
    </xf>
    <xf numFmtId="0" fontId="12" fillId="0" borderId="0" xfId="5" applyFont="1" applyAlignment="1">
      <alignment horizontal="right" vertical="center"/>
    </xf>
    <xf numFmtId="0" fontId="11" fillId="0" borderId="26" xfId="5" applyFont="1" applyBorder="1" applyAlignment="1">
      <alignment vertical="center"/>
    </xf>
    <xf numFmtId="0" fontId="11" fillId="0" borderId="0" xfId="5" applyFont="1" applyAlignment="1">
      <alignment vertical="center"/>
    </xf>
    <xf numFmtId="0" fontId="11" fillId="0" borderId="13" xfId="5" applyFont="1" applyBorder="1" applyAlignment="1">
      <alignment vertical="center"/>
    </xf>
    <xf numFmtId="0" fontId="11" fillId="0" borderId="0" xfId="5" applyFont="1" applyAlignment="1">
      <alignment horizontal="right" vertical="center"/>
    </xf>
    <xf numFmtId="0" fontId="11" fillId="0" borderId="13" xfId="5" applyFont="1" applyBorder="1" applyAlignment="1">
      <alignment horizontal="right" vertical="center"/>
    </xf>
    <xf numFmtId="0" fontId="12" fillId="0" borderId="13" xfId="5" applyFont="1" applyBorder="1" applyAlignment="1">
      <alignment horizontal="center" vertical="center"/>
    </xf>
    <xf numFmtId="0" fontId="11" fillId="0" borderId="60" xfId="5" applyFont="1" applyBorder="1" applyAlignment="1">
      <alignment horizontal="center" vertical="center"/>
    </xf>
    <xf numFmtId="0" fontId="11" fillId="0" borderId="60" xfId="5" applyFont="1" applyBorder="1" applyAlignment="1">
      <alignment vertical="center"/>
    </xf>
    <xf numFmtId="0" fontId="11" fillId="0" borderId="17" xfId="5" applyFont="1" applyBorder="1" applyAlignment="1">
      <alignment horizontal="center" vertical="center"/>
    </xf>
    <xf numFmtId="0" fontId="11" fillId="0" borderId="26" xfId="5" applyFont="1" applyBorder="1" applyAlignment="1">
      <alignment horizontal="right" vertical="center"/>
    </xf>
    <xf numFmtId="0" fontId="11" fillId="0" borderId="60" xfId="5" applyFont="1" applyBorder="1" applyAlignment="1">
      <alignment horizontal="right" vertical="center"/>
    </xf>
    <xf numFmtId="0" fontId="12" fillId="0" borderId="13" xfId="5" applyFont="1" applyBorder="1" applyAlignment="1">
      <alignment horizontal="left" vertical="center"/>
    </xf>
    <xf numFmtId="0" fontId="11" fillId="0" borderId="60" xfId="5" applyFont="1" applyBorder="1" applyAlignment="1">
      <alignment horizontal="left" vertical="center"/>
    </xf>
    <xf numFmtId="0" fontId="11" fillId="0" borderId="0" xfId="5" applyFont="1" applyAlignment="1">
      <alignment horizontal="left" vertical="center"/>
    </xf>
    <xf numFmtId="0" fontId="12" fillId="0" borderId="0" xfId="5" applyFont="1" applyAlignment="1">
      <alignment horizontal="left" vertical="center"/>
    </xf>
    <xf numFmtId="0" fontId="11" fillId="0" borderId="4" xfId="5" applyFont="1" applyBorder="1" applyAlignment="1">
      <alignment horizontal="center" vertical="center"/>
    </xf>
    <xf numFmtId="0" fontId="11" fillId="0" borderId="13" xfId="5" applyFont="1" applyBorder="1" applyAlignment="1">
      <alignment horizontal="left" vertical="center"/>
    </xf>
    <xf numFmtId="0" fontId="11" fillId="0" borderId="26" xfId="5" applyFont="1" applyBorder="1" applyAlignment="1">
      <alignment horizontal="left" vertical="center"/>
    </xf>
    <xf numFmtId="0" fontId="12" fillId="0" borderId="0" xfId="5" applyFont="1" applyAlignment="1">
      <alignment vertical="center"/>
    </xf>
    <xf numFmtId="0" fontId="11" fillId="2" borderId="0" xfId="5" applyFont="1" applyFill="1" applyAlignment="1">
      <alignment horizontal="center" vertical="center"/>
    </xf>
    <xf numFmtId="0" fontId="18" fillId="3" borderId="9" xfId="5" applyFont="1" applyFill="1" applyBorder="1" applyAlignment="1">
      <alignment horizontal="center" vertical="center"/>
    </xf>
    <xf numFmtId="0" fontId="12" fillId="3" borderId="10" xfId="5" applyFont="1" applyFill="1" applyBorder="1" applyAlignment="1">
      <alignment vertical="center"/>
    </xf>
    <xf numFmtId="0" fontId="12" fillId="0" borderId="33" xfId="5" applyFont="1" applyBorder="1" applyAlignment="1">
      <alignment horizontal="center" vertical="center"/>
    </xf>
    <xf numFmtId="0" fontId="12" fillId="0" borderId="2" xfId="5" applyFont="1" applyBorder="1" applyAlignment="1">
      <alignment horizontal="center" vertical="center"/>
    </xf>
    <xf numFmtId="0" fontId="12" fillId="0" borderId="5" xfId="5" applyFont="1" applyBorder="1" applyAlignment="1">
      <alignment horizontal="center" vertical="center"/>
    </xf>
    <xf numFmtId="0" fontId="17" fillId="0" borderId="10" xfId="0" applyFont="1" applyBorder="1" applyAlignment="1">
      <alignment vertical="center"/>
    </xf>
    <xf numFmtId="0" fontId="17" fillId="0" borderId="11" xfId="0" applyFont="1" applyBorder="1" applyAlignment="1">
      <alignment vertical="center"/>
    </xf>
    <xf numFmtId="0" fontId="17" fillId="0" borderId="4" xfId="0" applyFont="1" applyBorder="1" applyAlignment="1">
      <alignment vertical="center"/>
    </xf>
    <xf numFmtId="0" fontId="17" fillId="0" borderId="2" xfId="0" applyFont="1" applyBorder="1" applyAlignment="1">
      <alignment vertical="center"/>
    </xf>
    <xf numFmtId="0" fontId="15" fillId="0" borderId="2" xfId="0" applyFont="1" applyBorder="1" applyAlignment="1">
      <alignment vertical="center"/>
    </xf>
    <xf numFmtId="0" fontId="17" fillId="0" borderId="9" xfId="0" applyFont="1" applyBorder="1" applyAlignment="1">
      <alignment vertical="center"/>
    </xf>
    <xf numFmtId="0" fontId="17" fillId="0" borderId="3" xfId="0" applyFont="1" applyBorder="1" applyAlignment="1">
      <alignment vertical="center"/>
    </xf>
    <xf numFmtId="0" fontId="17" fillId="0" borderId="33" xfId="0" applyFont="1" applyBorder="1" applyAlignment="1">
      <alignment vertical="center"/>
    </xf>
    <xf numFmtId="0" fontId="15" fillId="0" borderId="5" xfId="0" applyFont="1" applyBorder="1" applyAlignment="1">
      <alignment vertical="center"/>
    </xf>
    <xf numFmtId="0" fontId="15" fillId="0" borderId="11" xfId="0" applyFont="1" applyBorder="1" applyAlignment="1">
      <alignment vertical="center"/>
    </xf>
    <xf numFmtId="0" fontId="17" fillId="0" borderId="10" xfId="0" applyFont="1" applyBorder="1" applyAlignment="1">
      <alignment vertical="top"/>
    </xf>
    <xf numFmtId="0" fontId="18" fillId="0" borderId="0" xfId="6" applyFont="1" applyAlignment="1">
      <alignment horizontal="center" vertical="center"/>
    </xf>
    <xf numFmtId="0" fontId="21" fillId="0" borderId="0" xfId="6" applyFont="1" applyAlignment="1">
      <alignment horizontal="center" vertical="center"/>
    </xf>
    <xf numFmtId="0" fontId="18" fillId="0" borderId="3" xfId="6" applyFont="1" applyBorder="1" applyAlignment="1">
      <alignment horizontal="center" vertical="center"/>
    </xf>
    <xf numFmtId="0" fontId="21" fillId="0" borderId="17" xfId="6" applyFont="1" applyBorder="1" applyAlignment="1">
      <alignment horizontal="center" vertical="center"/>
    </xf>
    <xf numFmtId="0" fontId="18" fillId="0" borderId="4" xfId="6" applyFont="1" applyBorder="1" applyAlignment="1">
      <alignment horizontal="center" vertical="center"/>
    </xf>
    <xf numFmtId="164" fontId="12" fillId="2" borderId="1" xfId="6" applyNumberFormat="1" applyFont="1" applyFill="1" applyBorder="1" applyAlignment="1">
      <alignment horizontal="center" vertical="center"/>
    </xf>
    <xf numFmtId="164" fontId="11" fillId="0" borderId="2" xfId="6" applyNumberFormat="1" applyFont="1" applyBorder="1" applyAlignment="1">
      <alignment horizontal="center" vertical="center"/>
    </xf>
    <xf numFmtId="164" fontId="11" fillId="0" borderId="26" xfId="6" applyNumberFormat="1" applyFont="1" applyBorder="1" applyAlignment="1">
      <alignment horizontal="center" vertical="center"/>
    </xf>
    <xf numFmtId="164" fontId="11" fillId="0" borderId="0" xfId="6" applyNumberFormat="1" applyFont="1" applyAlignment="1">
      <alignment horizontal="center" vertical="center"/>
    </xf>
    <xf numFmtId="164" fontId="11" fillId="0" borderId="13" xfId="6" applyNumberFormat="1" applyFont="1" applyBorder="1" applyAlignment="1">
      <alignment horizontal="center" vertical="center"/>
    </xf>
    <xf numFmtId="164" fontId="11" fillId="0" borderId="60" xfId="6" applyNumberFormat="1" applyFont="1" applyBorder="1" applyAlignment="1">
      <alignment horizontal="center" vertical="center"/>
    </xf>
    <xf numFmtId="164" fontId="11" fillId="0" borderId="7" xfId="6" applyNumberFormat="1" applyFont="1" applyBorder="1" applyAlignment="1">
      <alignment horizontal="center" vertical="center"/>
    </xf>
    <xf numFmtId="164" fontId="12" fillId="2" borderId="1" xfId="6" applyNumberFormat="1" applyFont="1" applyFill="1" applyBorder="1" applyAlignment="1">
      <alignment horizontal="left" vertical="center"/>
    </xf>
    <xf numFmtId="164" fontId="11" fillId="0" borderId="0" xfId="6" applyNumberFormat="1" applyFont="1" applyAlignment="1">
      <alignment vertical="center"/>
    </xf>
    <xf numFmtId="164" fontId="11" fillId="0" borderId="13" xfId="6" applyNumberFormat="1" applyFont="1" applyBorder="1" applyAlignment="1">
      <alignment vertical="center"/>
    </xf>
    <xf numFmtId="164" fontId="11" fillId="0" borderId="60" xfId="6" applyNumberFormat="1" applyFont="1" applyBorder="1" applyAlignment="1">
      <alignment vertical="center"/>
    </xf>
    <xf numFmtId="164" fontId="12" fillId="2" borderId="1" xfId="6" applyNumberFormat="1" applyFont="1" applyFill="1" applyBorder="1" applyAlignment="1">
      <alignment horizontal="right" vertical="center"/>
    </xf>
    <xf numFmtId="164" fontId="12" fillId="0" borderId="10" xfId="6" applyNumberFormat="1" applyFont="1" applyBorder="1" applyAlignment="1">
      <alignment horizontal="center" vertical="center"/>
    </xf>
    <xf numFmtId="164" fontId="12" fillId="0" borderId="1" xfId="6" applyNumberFormat="1" applyFont="1" applyBorder="1" applyAlignment="1">
      <alignment horizontal="center" vertical="center"/>
    </xf>
    <xf numFmtId="164" fontId="11" fillId="0" borderId="0" xfId="6" applyNumberFormat="1" applyFont="1" applyAlignment="1">
      <alignment horizontal="left" vertical="center"/>
    </xf>
    <xf numFmtId="164" fontId="11" fillId="0" borderId="26" xfId="6" applyNumberFormat="1" applyFont="1" applyBorder="1" applyAlignment="1">
      <alignment horizontal="left" vertical="center"/>
    </xf>
    <xf numFmtId="164" fontId="11" fillId="0" borderId="60" xfId="6" applyNumberFormat="1" applyFont="1" applyBorder="1" applyAlignment="1">
      <alignment horizontal="left" vertical="center"/>
    </xf>
    <xf numFmtId="164" fontId="11" fillId="0" borderId="13" xfId="6" applyNumberFormat="1" applyFont="1" applyBorder="1" applyAlignment="1">
      <alignment horizontal="left" vertical="center"/>
    </xf>
    <xf numFmtId="164" fontId="11" fillId="0" borderId="30" xfId="6" applyNumberFormat="1" applyFont="1" applyBorder="1" applyAlignment="1">
      <alignment horizontal="left" vertical="center"/>
    </xf>
    <xf numFmtId="164" fontId="12" fillId="0" borderId="1" xfId="6" applyNumberFormat="1" applyFont="1" applyBorder="1" applyAlignment="1">
      <alignment horizontal="left" vertical="center"/>
    </xf>
    <xf numFmtId="0" fontId="11" fillId="0" borderId="18" xfId="6" applyFont="1" applyBorder="1" applyAlignment="1">
      <alignment vertical="center"/>
    </xf>
    <xf numFmtId="0" fontId="11" fillId="0" borderId="19" xfId="6" applyFont="1" applyBorder="1" applyAlignment="1">
      <alignment vertical="center"/>
    </xf>
    <xf numFmtId="0" fontId="11" fillId="0" borderId="20" xfId="6" applyFont="1" applyBorder="1" applyAlignment="1">
      <alignment vertical="center"/>
    </xf>
    <xf numFmtId="0" fontId="11" fillId="0" borderId="0" xfId="6" applyFont="1" applyAlignment="1">
      <alignment vertical="center"/>
    </xf>
    <xf numFmtId="0" fontId="11" fillId="0" borderId="0" xfId="6" applyFont="1" applyAlignment="1">
      <alignment horizontal="left" vertical="center"/>
    </xf>
    <xf numFmtId="0" fontId="11" fillId="0" borderId="13" xfId="6" applyFont="1" applyBorder="1" applyAlignment="1">
      <alignment horizontal="left" vertical="center"/>
    </xf>
    <xf numFmtId="164" fontId="11" fillId="0" borderId="26" xfId="6" applyNumberFormat="1" applyFont="1" applyBorder="1" applyAlignment="1">
      <alignment vertical="center"/>
    </xf>
    <xf numFmtId="164" fontId="11" fillId="2" borderId="0" xfId="6" applyNumberFormat="1" applyFont="1" applyFill="1" applyAlignment="1">
      <alignment horizontal="center" vertical="center"/>
    </xf>
    <xf numFmtId="164" fontId="13" fillId="2" borderId="1" xfId="6" applyNumberFormat="1" applyFont="1" applyFill="1" applyBorder="1" applyAlignment="1">
      <alignment horizontal="center" vertical="center"/>
    </xf>
    <xf numFmtId="0" fontId="10" fillId="3" borderId="7" xfId="6" applyFont="1" applyFill="1" applyBorder="1" applyAlignment="1">
      <alignment vertical="center"/>
    </xf>
    <xf numFmtId="0" fontId="12" fillId="0" borderId="0" xfId="6" applyFont="1" applyAlignment="1">
      <alignment horizontal="center" vertical="center"/>
    </xf>
    <xf numFmtId="0" fontId="11" fillId="0" borderId="0" xfId="6" applyFont="1" applyAlignment="1">
      <alignment horizontal="center" vertical="center"/>
    </xf>
    <xf numFmtId="0" fontId="11" fillId="0" borderId="26" xfId="6" applyFont="1" applyBorder="1" applyAlignment="1">
      <alignment horizontal="center" vertical="center"/>
    </xf>
    <xf numFmtId="0" fontId="11" fillId="0" borderId="13" xfId="6" applyFont="1" applyBorder="1" applyAlignment="1">
      <alignment horizontal="center" vertical="center"/>
    </xf>
    <xf numFmtId="0" fontId="12" fillId="0" borderId="0" xfId="6" applyFont="1" applyAlignment="1">
      <alignment horizontal="right" vertical="center"/>
    </xf>
    <xf numFmtId="0" fontId="11" fillId="0" borderId="26" xfId="6" applyFont="1" applyBorder="1" applyAlignment="1">
      <alignment horizontal="right" vertical="center"/>
    </xf>
    <xf numFmtId="0" fontId="11" fillId="0" borderId="0" xfId="6" applyFont="1" applyAlignment="1">
      <alignment horizontal="right" vertical="center"/>
    </xf>
    <xf numFmtId="0" fontId="11" fillId="0" borderId="13" xfId="6" applyFont="1" applyBorder="1" applyAlignment="1">
      <alignment horizontal="right" vertical="center"/>
    </xf>
    <xf numFmtId="0" fontId="12" fillId="0" borderId="13" xfId="6" applyFont="1" applyBorder="1" applyAlignment="1">
      <alignment horizontal="center" vertical="center"/>
    </xf>
    <xf numFmtId="0" fontId="11" fillId="0" borderId="60" xfId="6" applyFont="1" applyBorder="1" applyAlignment="1">
      <alignment horizontal="center" vertical="center"/>
    </xf>
    <xf numFmtId="0" fontId="11" fillId="0" borderId="17" xfId="6" applyFont="1" applyBorder="1" applyAlignment="1">
      <alignment horizontal="center" vertical="center"/>
    </xf>
    <xf numFmtId="0" fontId="11" fillId="0" borderId="14" xfId="6" applyFont="1" applyBorder="1" applyAlignment="1">
      <alignment horizontal="right" vertical="center"/>
    </xf>
    <xf numFmtId="0" fontId="11" fillId="0" borderId="15" xfId="6" applyFont="1" applyBorder="1" applyAlignment="1">
      <alignment horizontal="right" vertical="center"/>
    </xf>
    <xf numFmtId="0" fontId="11" fillId="0" borderId="30" xfId="6" applyFont="1" applyBorder="1" applyAlignment="1">
      <alignment horizontal="right" vertical="center"/>
    </xf>
    <xf numFmtId="0" fontId="11" fillId="0" borderId="27" xfId="6" applyFont="1" applyBorder="1" applyAlignment="1">
      <alignment horizontal="right" vertical="center"/>
    </xf>
    <xf numFmtId="0" fontId="11" fillId="0" borderId="60" xfId="6" applyFont="1" applyBorder="1" applyAlignment="1">
      <alignment horizontal="right" vertical="center"/>
    </xf>
    <xf numFmtId="0" fontId="11" fillId="0" borderId="30" xfId="6" applyFont="1" applyBorder="1" applyAlignment="1">
      <alignment horizontal="center" vertical="center"/>
    </xf>
    <xf numFmtId="0" fontId="11" fillId="0" borderId="27" xfId="6" applyFont="1" applyBorder="1" applyAlignment="1">
      <alignment horizontal="center" vertical="center"/>
    </xf>
    <xf numFmtId="0" fontId="12" fillId="0" borderId="0" xfId="6" applyFont="1" applyAlignment="1">
      <alignment horizontal="left" vertical="center"/>
    </xf>
    <xf numFmtId="0" fontId="11" fillId="0" borderId="26" xfId="6" applyFont="1" applyBorder="1" applyAlignment="1">
      <alignment horizontal="left" vertical="center"/>
    </xf>
    <xf numFmtId="0" fontId="11" fillId="0" borderId="60" xfId="6" applyFont="1" applyBorder="1" applyAlignment="1">
      <alignment horizontal="left" vertical="center"/>
    </xf>
    <xf numFmtId="0" fontId="11" fillId="0" borderId="30" xfId="6" applyFont="1" applyBorder="1" applyAlignment="1">
      <alignment horizontal="left" vertical="center"/>
    </xf>
    <xf numFmtId="0" fontId="11" fillId="0" borderId="27" xfId="6" applyFont="1" applyBorder="1" applyAlignment="1">
      <alignment horizontal="left" vertical="center"/>
    </xf>
    <xf numFmtId="0" fontId="11" fillId="0" borderId="4" xfId="6" applyFont="1" applyBorder="1" applyAlignment="1">
      <alignment horizontal="center" vertical="center"/>
    </xf>
    <xf numFmtId="0" fontId="11" fillId="0" borderId="14" xfId="6" applyFont="1" applyBorder="1" applyAlignment="1">
      <alignment vertical="center"/>
    </xf>
    <xf numFmtId="0" fontId="11" fillId="0" borderId="13" xfId="6" applyFont="1" applyBorder="1" applyAlignment="1">
      <alignment vertical="center"/>
    </xf>
    <xf numFmtId="0" fontId="11" fillId="0" borderId="26" xfId="6" applyFont="1" applyBorder="1" applyAlignment="1">
      <alignment vertical="center" wrapText="1"/>
    </xf>
    <xf numFmtId="0" fontId="11" fillId="0" borderId="0" xfId="6" applyFont="1" applyAlignment="1">
      <alignment vertical="center" wrapText="1"/>
    </xf>
    <xf numFmtId="0" fontId="11" fillId="0" borderId="2" xfId="6" applyFont="1" applyBorder="1" applyAlignment="1">
      <alignment vertical="center"/>
    </xf>
    <xf numFmtId="0" fontId="11" fillId="0" borderId="2" xfId="6" applyFont="1" applyBorder="1" applyAlignment="1">
      <alignment horizontal="left" vertical="center"/>
    </xf>
    <xf numFmtId="0" fontId="11" fillId="0" borderId="61" xfId="6" applyFont="1" applyBorder="1" applyAlignment="1">
      <alignment vertical="center"/>
    </xf>
    <xf numFmtId="0" fontId="11" fillId="0" borderId="26" xfId="6" applyFont="1" applyBorder="1" applyAlignment="1">
      <alignment vertical="center"/>
    </xf>
    <xf numFmtId="0" fontId="12" fillId="0" borderId="0" xfId="6" applyFont="1" applyAlignment="1">
      <alignment vertical="center"/>
    </xf>
    <xf numFmtId="0" fontId="23" fillId="4" borderId="7" xfId="2" applyFont="1" applyFill="1" applyBorder="1"/>
    <xf numFmtId="0" fontId="24" fillId="4" borderId="7" xfId="1" quotePrefix="1" applyFont="1" applyFill="1" applyBorder="1" applyAlignment="1">
      <alignment vertical="center"/>
    </xf>
    <xf numFmtId="0" fontId="9" fillId="4" borderId="7" xfId="4" applyFont="1" applyFill="1" applyBorder="1" applyAlignment="1">
      <alignment vertical="center"/>
    </xf>
    <xf numFmtId="0" fontId="18" fillId="0" borderId="0" xfId="7" applyFont="1" applyAlignment="1">
      <alignment horizontal="center" vertical="center"/>
    </xf>
    <xf numFmtId="0" fontId="21" fillId="0" borderId="0" xfId="7" applyFont="1" applyAlignment="1">
      <alignment horizontal="center" vertical="center"/>
    </xf>
    <xf numFmtId="0" fontId="18" fillId="4" borderId="0" xfId="7" applyFont="1" applyFill="1" applyAlignment="1">
      <alignment horizontal="center" vertical="center"/>
    </xf>
    <xf numFmtId="0" fontId="21" fillId="4" borderId="0" xfId="7" applyFont="1" applyFill="1" applyAlignment="1">
      <alignment horizontal="center" vertical="center"/>
    </xf>
    <xf numFmtId="0" fontId="18" fillId="0" borderId="3" xfId="7" applyFont="1" applyBorder="1" applyAlignment="1">
      <alignment horizontal="center" vertical="center"/>
    </xf>
    <xf numFmtId="0" fontId="21" fillId="0" borderId="17" xfId="7" applyFont="1" applyBorder="1" applyAlignment="1">
      <alignment horizontal="center" vertical="center"/>
    </xf>
    <xf numFmtId="0" fontId="18" fillId="0" borderId="4" xfId="7" applyFont="1" applyBorder="1" applyAlignment="1">
      <alignment horizontal="center" vertical="center"/>
    </xf>
    <xf numFmtId="164" fontId="12" fillId="2" borderId="1" xfId="7" applyNumberFormat="1" applyFont="1" applyFill="1" applyBorder="1" applyAlignment="1">
      <alignment horizontal="left" vertical="center"/>
    </xf>
    <xf numFmtId="164" fontId="12" fillId="2" borderId="1" xfId="7" applyNumberFormat="1" applyFont="1" applyFill="1" applyBorder="1" applyAlignment="1">
      <alignment horizontal="center" vertical="center"/>
    </xf>
    <xf numFmtId="164" fontId="12" fillId="0" borderId="1" xfId="7" applyNumberFormat="1" applyFont="1" applyBorder="1" applyAlignment="1">
      <alignment horizontal="center" vertical="center"/>
    </xf>
    <xf numFmtId="164" fontId="11" fillId="0" borderId="26" xfId="7" applyNumberFormat="1" applyFont="1" applyBorder="1" applyAlignment="1">
      <alignment horizontal="center" vertical="center"/>
    </xf>
    <xf numFmtId="164" fontId="11" fillId="0" borderId="0" xfId="7" applyNumberFormat="1" applyFont="1" applyAlignment="1">
      <alignment horizontal="center" vertical="center"/>
    </xf>
    <xf numFmtId="164" fontId="11" fillId="0" borderId="13" xfId="7" applyNumberFormat="1" applyFont="1" applyBorder="1" applyAlignment="1">
      <alignment horizontal="center" vertical="center"/>
    </xf>
    <xf numFmtId="164" fontId="11" fillId="0" borderId="0" xfId="7" applyNumberFormat="1" applyFont="1" applyAlignment="1">
      <alignment vertical="center"/>
    </xf>
    <xf numFmtId="164" fontId="11" fillId="0" borderId="13" xfId="7" applyNumberFormat="1" applyFont="1" applyBorder="1" applyAlignment="1">
      <alignment vertical="center"/>
    </xf>
    <xf numFmtId="0" fontId="15" fillId="4" borderId="0" xfId="0" applyFont="1" applyFill="1" applyAlignment="1">
      <alignment vertical="center"/>
    </xf>
    <xf numFmtId="0" fontId="21" fillId="0" borderId="6" xfId="7" applyFont="1" applyBorder="1" applyAlignment="1">
      <alignment horizontal="center" vertical="center"/>
    </xf>
    <xf numFmtId="0" fontId="10" fillId="3" borderId="7" xfId="7" applyFont="1" applyFill="1" applyBorder="1" applyAlignment="1">
      <alignment vertical="center"/>
    </xf>
    <xf numFmtId="164" fontId="25" fillId="0" borderId="26" xfId="7" applyNumberFormat="1" applyFont="1" applyBorder="1" applyAlignment="1">
      <alignment vertical="center" textRotation="90"/>
    </xf>
    <xf numFmtId="0" fontId="12" fillId="0" borderId="0" xfId="7" applyFont="1" applyAlignment="1">
      <alignment horizontal="center" vertical="center"/>
    </xf>
    <xf numFmtId="0" fontId="11" fillId="0" borderId="0" xfId="7" applyFont="1" applyAlignment="1">
      <alignment horizontal="center" vertical="center"/>
    </xf>
    <xf numFmtId="0" fontId="11" fillId="0" borderId="26" xfId="7" applyFont="1" applyBorder="1" applyAlignment="1">
      <alignment horizontal="center" vertical="center"/>
    </xf>
    <xf numFmtId="0" fontId="11" fillId="0" borderId="13" xfId="7" applyFont="1" applyBorder="1" applyAlignment="1">
      <alignment horizontal="center" vertical="center"/>
    </xf>
    <xf numFmtId="0" fontId="12" fillId="4" borderId="0" xfId="7" applyFont="1" applyFill="1" applyAlignment="1">
      <alignment horizontal="center" vertical="center"/>
    </xf>
    <xf numFmtId="0" fontId="12" fillId="0" borderId="0" xfId="7" applyFont="1" applyAlignment="1">
      <alignment horizontal="right" vertical="center"/>
    </xf>
    <xf numFmtId="0" fontId="11" fillId="0" borderId="26" xfId="7" applyFont="1" applyBorder="1" applyAlignment="1">
      <alignment horizontal="right" vertical="center"/>
    </xf>
    <xf numFmtId="0" fontId="11" fillId="0" borderId="0" xfId="7" applyFont="1" applyAlignment="1">
      <alignment horizontal="right" vertical="center"/>
    </xf>
    <xf numFmtId="0" fontId="11" fillId="0" borderId="13" xfId="7" applyFont="1" applyBorder="1" applyAlignment="1">
      <alignment horizontal="right" vertical="center"/>
    </xf>
    <xf numFmtId="0" fontId="12" fillId="4" borderId="0" xfId="7" applyFont="1" applyFill="1" applyAlignment="1">
      <alignment horizontal="right" vertical="center"/>
    </xf>
    <xf numFmtId="0" fontId="12" fillId="0" borderId="13" xfId="7" applyFont="1" applyBorder="1" applyAlignment="1">
      <alignment horizontal="center" vertical="center"/>
    </xf>
    <xf numFmtId="0" fontId="11" fillId="0" borderId="60" xfId="7" applyFont="1" applyBorder="1" applyAlignment="1">
      <alignment horizontal="center" vertical="center"/>
    </xf>
    <xf numFmtId="0" fontId="11" fillId="0" borderId="26" xfId="7" applyFont="1" applyBorder="1" applyAlignment="1">
      <alignment vertical="center"/>
    </xf>
    <xf numFmtId="0" fontId="11" fillId="0" borderId="0" xfId="7" applyFont="1" applyAlignment="1">
      <alignment vertical="center"/>
    </xf>
    <xf numFmtId="0" fontId="11" fillId="0" borderId="13" xfId="7" applyFont="1" applyBorder="1" applyAlignment="1">
      <alignment vertical="center"/>
    </xf>
    <xf numFmtId="0" fontId="11" fillId="0" borderId="60" xfId="7" applyFont="1" applyBorder="1" applyAlignment="1">
      <alignment vertical="center"/>
    </xf>
    <xf numFmtId="0" fontId="11" fillId="0" borderId="17" xfId="7" applyFont="1" applyBorder="1" applyAlignment="1">
      <alignment horizontal="center" vertical="center"/>
    </xf>
    <xf numFmtId="0" fontId="11" fillId="0" borderId="60" xfId="7" applyFont="1" applyBorder="1" applyAlignment="1">
      <alignment horizontal="right" vertical="center"/>
    </xf>
    <xf numFmtId="0" fontId="12" fillId="0" borderId="13" xfId="7" applyFont="1" applyBorder="1" applyAlignment="1">
      <alignment horizontal="left" vertical="center"/>
    </xf>
    <xf numFmtId="0" fontId="11" fillId="0" borderId="26" xfId="7" applyFont="1" applyBorder="1" applyAlignment="1">
      <alignment horizontal="left" vertical="center"/>
    </xf>
    <xf numFmtId="0" fontId="11" fillId="0" borderId="0" xfId="7" applyFont="1" applyAlignment="1">
      <alignment horizontal="left" vertical="center"/>
    </xf>
    <xf numFmtId="0" fontId="11" fillId="0" borderId="13" xfId="7" applyFont="1" applyBorder="1" applyAlignment="1">
      <alignment horizontal="left" vertical="center"/>
    </xf>
    <xf numFmtId="0" fontId="11" fillId="0" borderId="60" xfId="7" applyFont="1" applyBorder="1" applyAlignment="1">
      <alignment horizontal="left" vertical="center"/>
    </xf>
    <xf numFmtId="0" fontId="12" fillId="4" borderId="0" xfId="7" applyFont="1" applyFill="1" applyAlignment="1">
      <alignment horizontal="left" vertical="center"/>
    </xf>
    <xf numFmtId="0" fontId="12" fillId="0" borderId="0" xfId="7" applyFont="1" applyAlignment="1">
      <alignment horizontal="left" vertical="center"/>
    </xf>
    <xf numFmtId="0" fontId="11" fillId="0" borderId="4" xfId="7" applyFont="1" applyBorder="1" applyAlignment="1">
      <alignment horizontal="center" vertical="center"/>
    </xf>
    <xf numFmtId="0" fontId="12" fillId="0" borderId="1" xfId="7" applyFont="1" applyBorder="1" applyAlignment="1">
      <alignment horizontal="center" vertical="center"/>
    </xf>
    <xf numFmtId="0" fontId="12" fillId="0" borderId="0" xfId="7" applyFont="1" applyAlignment="1">
      <alignment vertical="center"/>
    </xf>
    <xf numFmtId="0" fontId="12" fillId="0" borderId="13" xfId="7" applyFont="1" applyBorder="1" applyAlignment="1">
      <alignment horizontal="right" vertical="center"/>
    </xf>
    <xf numFmtId="0" fontId="11" fillId="0" borderId="34" xfId="7" applyFont="1" applyBorder="1" applyAlignment="1">
      <alignment vertical="center"/>
    </xf>
    <xf numFmtId="0" fontId="11" fillId="0" borderId="17" xfId="7" applyFont="1" applyBorder="1" applyAlignment="1">
      <alignment vertical="center"/>
    </xf>
    <xf numFmtId="0" fontId="11" fillId="0" borderId="35" xfId="7" applyFont="1" applyBorder="1" applyAlignment="1">
      <alignment vertical="center"/>
    </xf>
    <xf numFmtId="0" fontId="11" fillId="0" borderId="34" xfId="7" applyFont="1" applyBorder="1" applyAlignment="1">
      <alignment horizontal="center" vertical="center"/>
    </xf>
    <xf numFmtId="0" fontId="11" fillId="0" borderId="35" xfId="7" applyFont="1" applyBorder="1" applyAlignment="1">
      <alignment horizontal="center" vertical="center"/>
    </xf>
    <xf numFmtId="0" fontId="11" fillId="2" borderId="0" xfId="7" applyFont="1" applyFill="1" applyAlignment="1">
      <alignment horizontal="center" vertical="center"/>
    </xf>
    <xf numFmtId="0" fontId="11" fillId="0" borderId="34" xfId="7" applyFont="1" applyBorder="1" applyAlignment="1">
      <alignment horizontal="left" vertical="center"/>
    </xf>
    <xf numFmtId="0" fontId="11" fillId="0" borderId="17" xfId="7" applyFont="1" applyBorder="1" applyAlignment="1">
      <alignment horizontal="left" vertical="center"/>
    </xf>
    <xf numFmtId="0" fontId="26" fillId="0" borderId="0" xfId="0" applyFont="1" applyAlignment="1">
      <alignment vertical="center"/>
    </xf>
    <xf numFmtId="0" fontId="17" fillId="0" borderId="5" xfId="0" applyFont="1" applyBorder="1" applyAlignment="1">
      <alignment vertical="center"/>
    </xf>
    <xf numFmtId="0" fontId="8" fillId="3" borderId="6" xfId="0" applyFont="1" applyFill="1" applyBorder="1" applyAlignment="1">
      <alignment horizontal="center" vertical="center"/>
    </xf>
    <xf numFmtId="0" fontId="4" fillId="6" borderId="1" xfId="0" applyFont="1" applyFill="1" applyBorder="1" applyAlignment="1">
      <alignment horizontal="center" vertical="top" wrapText="1"/>
    </xf>
    <xf numFmtId="0" fontId="4" fillId="0" borderId="0" xfId="0" applyFont="1" applyAlignment="1">
      <alignment horizontal="center" vertical="center"/>
    </xf>
    <xf numFmtId="0" fontId="29" fillId="3" borderId="1" xfId="1" applyFont="1" applyFill="1" applyBorder="1" applyAlignment="1">
      <alignment horizontal="center" vertical="center" wrapText="1"/>
    </xf>
    <xf numFmtId="0" fontId="29" fillId="0" borderId="0" xfId="1" applyFont="1" applyFill="1" applyBorder="1" applyAlignment="1">
      <alignment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165" fontId="4" fillId="0" borderId="1" xfId="0" applyNumberFormat="1" applyFont="1" applyBorder="1" applyAlignment="1">
      <alignment horizontal="center" vertical="center"/>
    </xf>
    <xf numFmtId="0" fontId="30" fillId="0" borderId="1" xfId="8" applyFont="1" applyBorder="1" applyAlignment="1">
      <alignment horizontal="left" vertical="top" wrapText="1"/>
    </xf>
    <xf numFmtId="0" fontId="30" fillId="7" borderId="1" xfId="8" applyFont="1" applyFill="1" applyBorder="1" applyAlignment="1">
      <alignment horizontal="center" vertical="center" wrapText="1"/>
    </xf>
    <xf numFmtId="0" fontId="30" fillId="0" borderId="1" xfId="8" applyFont="1" applyBorder="1" applyAlignment="1">
      <alignment horizontal="center" vertical="center" wrapText="1"/>
    </xf>
    <xf numFmtId="0" fontId="30" fillId="0" borderId="1" xfId="8" applyFont="1" applyBorder="1" applyAlignment="1">
      <alignment horizontal="center" vertical="center"/>
    </xf>
    <xf numFmtId="0" fontId="30" fillId="0" borderId="0" xfId="8" applyFont="1" applyAlignment="1">
      <alignment horizontal="center" vertical="center"/>
    </xf>
    <xf numFmtId="9" fontId="32" fillId="3" borderId="6" xfId="0" applyNumberFormat="1" applyFont="1" applyFill="1" applyBorder="1" applyAlignment="1">
      <alignment horizontal="center" vertical="center"/>
    </xf>
    <xf numFmtId="0" fontId="4" fillId="0" borderId="1" xfId="0" applyFont="1" applyBorder="1" applyAlignment="1">
      <alignment horizontal="center" vertical="center"/>
    </xf>
    <xf numFmtId="0" fontId="33" fillId="3" borderId="1" xfId="1" applyFont="1" applyFill="1" applyBorder="1" applyAlignment="1">
      <alignment horizontal="center" vertical="center" wrapText="1"/>
    </xf>
    <xf numFmtId="0" fontId="35" fillId="4" borderId="7" xfId="1" applyFont="1" applyFill="1" applyBorder="1" applyAlignment="1">
      <alignment vertical="center"/>
    </xf>
    <xf numFmtId="0" fontId="35" fillId="4" borderId="2" xfId="1" applyFont="1" applyFill="1" applyBorder="1" applyAlignment="1">
      <alignment vertical="center"/>
    </xf>
    <xf numFmtId="9" fontId="32" fillId="0" borderId="6" xfId="0" applyNumberFormat="1" applyFont="1" applyBorder="1" applyAlignment="1">
      <alignment horizontal="center" vertical="center"/>
    </xf>
    <xf numFmtId="0" fontId="31" fillId="0" borderId="7" xfId="8" applyFont="1" applyBorder="1" applyAlignment="1">
      <alignment horizontal="center" vertical="center"/>
    </xf>
    <xf numFmtId="0" fontId="31" fillId="0" borderId="8" xfId="8" applyFont="1" applyBorder="1" applyAlignment="1">
      <alignment horizontal="center" vertical="center"/>
    </xf>
    <xf numFmtId="0" fontId="33" fillId="0" borderId="0" xfId="1" applyFont="1" applyFill="1" applyBorder="1" applyAlignment="1">
      <alignment vertical="center" wrapText="1"/>
    </xf>
    <xf numFmtId="0" fontId="30" fillId="4" borderId="0" xfId="2" applyFont="1" applyFill="1" applyAlignment="1">
      <alignment horizontal="center" vertical="center"/>
    </xf>
    <xf numFmtId="0" fontId="30" fillId="0" borderId="0" xfId="2" applyFont="1" applyAlignment="1">
      <alignment horizontal="center" vertical="center"/>
    </xf>
    <xf numFmtId="0" fontId="30" fillId="4" borderId="3" xfId="2" applyFont="1" applyFill="1" applyBorder="1" applyAlignment="1">
      <alignment horizontal="center" vertical="center"/>
    </xf>
    <xf numFmtId="0" fontId="30" fillId="4" borderId="3" xfId="2" applyFont="1" applyFill="1" applyBorder="1" applyAlignment="1">
      <alignment horizontal="center" vertical="top"/>
    </xf>
    <xf numFmtId="0" fontId="30" fillId="4" borderId="0" xfId="2" applyFont="1" applyFill="1" applyAlignment="1">
      <alignment horizontal="center" vertical="top"/>
    </xf>
    <xf numFmtId="0" fontId="30" fillId="0" borderId="0" xfId="2" applyFont="1" applyAlignment="1">
      <alignment vertical="top"/>
    </xf>
    <xf numFmtId="0" fontId="36" fillId="0" borderId="0" xfId="2" applyFont="1"/>
    <xf numFmtId="0" fontId="36" fillId="0" borderId="6" xfId="2" applyFont="1" applyBorder="1"/>
    <xf numFmtId="0" fontId="37" fillId="4" borderId="8" xfId="4" applyFont="1" applyFill="1" applyBorder="1" applyAlignment="1">
      <alignment vertical="center"/>
    </xf>
    <xf numFmtId="0" fontId="36" fillId="4" borderId="6" xfId="2" applyFont="1" applyFill="1" applyBorder="1"/>
    <xf numFmtId="0" fontId="34" fillId="4" borderId="8" xfId="4" applyFont="1" applyFill="1" applyBorder="1" applyAlignment="1">
      <alignment vertical="center"/>
    </xf>
    <xf numFmtId="0" fontId="36" fillId="4" borderId="7" xfId="2" applyFont="1" applyFill="1" applyBorder="1"/>
    <xf numFmtId="0" fontId="36" fillId="4" borderId="33" xfId="2" applyFont="1" applyFill="1" applyBorder="1"/>
    <xf numFmtId="0" fontId="36" fillId="4" borderId="2" xfId="2" applyFont="1" applyFill="1" applyBorder="1"/>
    <xf numFmtId="0" fontId="34" fillId="4" borderId="5" xfId="4" applyFont="1" applyFill="1" applyBorder="1" applyAlignment="1">
      <alignment vertical="center"/>
    </xf>
    <xf numFmtId="0" fontId="30" fillId="0" borderId="1" xfId="8" applyFont="1" applyBorder="1" applyAlignment="1">
      <alignment horizontal="left" vertical="center" wrapText="1"/>
    </xf>
    <xf numFmtId="0" fontId="24" fillId="4" borderId="7" xfId="1" applyFont="1" applyFill="1" applyBorder="1" applyAlignment="1">
      <alignment vertical="center"/>
    </xf>
    <xf numFmtId="1" fontId="30" fillId="0" borderId="1" xfId="8" applyNumberFormat="1" applyFont="1" applyBorder="1" applyAlignment="1">
      <alignment horizontal="center" vertical="center"/>
    </xf>
    <xf numFmtId="0" fontId="35" fillId="4" borderId="2" xfId="3" applyFont="1" applyFill="1" applyBorder="1" applyAlignment="1">
      <alignment vertical="center"/>
    </xf>
    <xf numFmtId="0" fontId="28" fillId="3" borderId="6" xfId="2" applyFont="1" applyFill="1" applyBorder="1" applyAlignment="1">
      <alignment horizontal="center" wrapText="1"/>
    </xf>
    <xf numFmtId="0" fontId="28" fillId="3" borderId="7" xfId="2" applyFont="1" applyFill="1" applyBorder="1" applyAlignment="1">
      <alignment horizontal="center" wrapText="1"/>
    </xf>
    <xf numFmtId="0" fontId="28" fillId="3" borderId="8" xfId="2" applyFont="1" applyFill="1" applyBorder="1" applyAlignment="1">
      <alignment horizontal="center" wrapText="1"/>
    </xf>
    <xf numFmtId="0" fontId="30" fillId="2" borderId="6" xfId="2" applyFont="1" applyFill="1" applyBorder="1" applyAlignment="1">
      <alignment horizontal="center" vertical="center"/>
    </xf>
    <xf numFmtId="0" fontId="30" fillId="2" borderId="7" xfId="2" applyFont="1" applyFill="1" applyBorder="1" applyAlignment="1">
      <alignment horizontal="center" vertical="center"/>
    </xf>
    <xf numFmtId="0" fontId="30" fillId="2" borderId="8" xfId="2" applyFont="1" applyFill="1" applyBorder="1" applyAlignment="1">
      <alignment horizontal="center" vertical="center"/>
    </xf>
    <xf numFmtId="0" fontId="30" fillId="4" borderId="0" xfId="2" applyFont="1" applyFill="1" applyAlignment="1">
      <alignment horizontal="center" vertical="center" wrapText="1"/>
    </xf>
    <xf numFmtId="0" fontId="30" fillId="4" borderId="4" xfId="2" applyFont="1" applyFill="1" applyBorder="1" applyAlignment="1">
      <alignment horizontal="center" vertical="center" wrapText="1"/>
    </xf>
    <xf numFmtId="0" fontId="33" fillId="4" borderId="0" xfId="3" applyFont="1" applyFill="1" applyBorder="1" applyAlignment="1">
      <alignment horizontal="center" vertical="center" wrapText="1"/>
    </xf>
    <xf numFmtId="0" fontId="33" fillId="4" borderId="4" xfId="3" applyFont="1" applyFill="1" applyBorder="1" applyAlignment="1">
      <alignment horizontal="center" vertical="center" wrapText="1"/>
    </xf>
    <xf numFmtId="0" fontId="30" fillId="4" borderId="2" xfId="2" applyFont="1" applyFill="1" applyBorder="1" applyAlignment="1">
      <alignment horizontal="center" vertical="top" wrapText="1"/>
    </xf>
    <xf numFmtId="0" fontId="30" fillId="4" borderId="5" xfId="2" applyFont="1" applyFill="1" applyBorder="1" applyAlignment="1">
      <alignment horizontal="center" vertical="top" wrapText="1"/>
    </xf>
    <xf numFmtId="0" fontId="28" fillId="2" borderId="6" xfId="2" applyFont="1" applyFill="1" applyBorder="1" applyAlignment="1">
      <alignment horizontal="center" vertical="center"/>
    </xf>
    <xf numFmtId="0" fontId="28" fillId="2" borderId="7" xfId="2" applyFont="1" applyFill="1" applyBorder="1" applyAlignment="1">
      <alignment horizontal="center" vertical="center"/>
    </xf>
    <xf numFmtId="0" fontId="28" fillId="2" borderId="8" xfId="2" applyFont="1" applyFill="1" applyBorder="1" applyAlignment="1">
      <alignment horizontal="center" vertical="center"/>
    </xf>
    <xf numFmtId="164" fontId="12" fillId="2" borderId="1" xfId="0" applyNumberFormat="1" applyFont="1" applyFill="1" applyBorder="1" applyAlignment="1">
      <alignment horizontal="left" vertical="center"/>
    </xf>
    <xf numFmtId="164" fontId="12" fillId="2" borderId="1" xfId="0" applyNumberFormat="1" applyFont="1" applyFill="1" applyBorder="1" applyAlignment="1">
      <alignment horizontal="center" vertical="center"/>
    </xf>
    <xf numFmtId="164" fontId="12" fillId="2" borderId="37" xfId="0" applyNumberFormat="1" applyFont="1" applyFill="1" applyBorder="1" applyAlignment="1">
      <alignment horizontal="left" vertical="center"/>
    </xf>
    <xf numFmtId="164" fontId="12" fillId="2" borderId="37" xfId="0" applyNumberFormat="1" applyFont="1" applyFill="1" applyBorder="1" applyAlignment="1">
      <alignment horizontal="center" vertical="center"/>
    </xf>
    <xf numFmtId="164" fontId="11" fillId="0" borderId="30" xfId="0" applyNumberFormat="1" applyFont="1" applyBorder="1" applyAlignment="1">
      <alignment horizontal="right" vertical="center"/>
    </xf>
    <xf numFmtId="164" fontId="11" fillId="0" borderId="0" xfId="0" applyNumberFormat="1" applyFont="1" applyAlignment="1">
      <alignment horizontal="right" vertical="center"/>
    </xf>
    <xf numFmtId="164" fontId="11" fillId="0" borderId="27" xfId="0" applyNumberFormat="1" applyFont="1" applyBorder="1" applyAlignment="1">
      <alignment horizontal="right" vertical="center"/>
    </xf>
    <xf numFmtId="164" fontId="11" fillId="0" borderId="14" xfId="0" applyNumberFormat="1" applyFont="1" applyBorder="1" applyAlignment="1">
      <alignment horizontal="center" vertical="center"/>
    </xf>
    <xf numFmtId="164" fontId="11" fillId="0" borderId="15" xfId="0"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0" borderId="2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5" xfId="0" applyNumberFormat="1" applyFont="1" applyBorder="1" applyAlignment="1">
      <alignment horizontal="center" vertical="center"/>
    </xf>
    <xf numFmtId="164" fontId="11" fillId="0" borderId="18" xfId="0" applyNumberFormat="1" applyFont="1" applyBorder="1" applyAlignment="1">
      <alignment horizontal="center" vertical="center"/>
    </xf>
    <xf numFmtId="164" fontId="11" fillId="0" borderId="19" xfId="0" applyNumberFormat="1" applyFont="1" applyBorder="1" applyAlignment="1">
      <alignment horizontal="center" vertical="center"/>
    </xf>
    <xf numFmtId="164" fontId="11" fillId="0" borderId="20" xfId="0" applyNumberFormat="1" applyFont="1" applyBorder="1" applyAlignment="1">
      <alignment horizontal="center" vertical="center"/>
    </xf>
    <xf numFmtId="164" fontId="11" fillId="0" borderId="21" xfId="0" applyNumberFormat="1" applyFont="1" applyBorder="1" applyAlignment="1">
      <alignment horizontal="right" vertical="center"/>
    </xf>
    <xf numFmtId="164" fontId="11" fillId="0" borderId="22" xfId="0" applyNumberFormat="1" applyFont="1" applyBorder="1" applyAlignment="1">
      <alignment horizontal="right" vertical="center"/>
    </xf>
    <xf numFmtId="164" fontId="11" fillId="0" borderId="23" xfId="0" applyNumberFormat="1" applyFont="1" applyBorder="1" applyAlignment="1">
      <alignment horizontal="right" vertical="center"/>
    </xf>
    <xf numFmtId="164" fontId="11" fillId="0" borderId="14" xfId="0" applyNumberFormat="1" applyFont="1" applyBorder="1" applyAlignment="1">
      <alignment horizontal="right" vertical="center"/>
    </xf>
    <xf numFmtId="164" fontId="11" fillId="0" borderId="15" xfId="0" applyNumberFormat="1" applyFont="1" applyBorder="1" applyAlignment="1">
      <alignment horizontal="right" vertical="center"/>
    </xf>
    <xf numFmtId="164" fontId="11" fillId="0" borderId="16" xfId="0" applyNumberFormat="1" applyFont="1" applyBorder="1" applyAlignment="1">
      <alignment horizontal="right" vertical="center"/>
    </xf>
    <xf numFmtId="164" fontId="11" fillId="0" borderId="38" xfId="0" applyNumberFormat="1" applyFont="1" applyBorder="1" applyAlignment="1">
      <alignment horizontal="center" vertical="center"/>
    </xf>
    <xf numFmtId="164" fontId="11" fillId="0" borderId="39" xfId="0" applyNumberFormat="1" applyFont="1" applyBorder="1" applyAlignment="1">
      <alignment horizontal="center" vertical="center"/>
    </xf>
    <xf numFmtId="164" fontId="11" fillId="0" borderId="58" xfId="0" applyNumberFormat="1" applyFont="1" applyBorder="1" applyAlignment="1">
      <alignment horizontal="center" vertical="center"/>
    </xf>
    <xf numFmtId="164" fontId="11" fillId="0" borderId="3" xfId="0" applyNumberFormat="1" applyFont="1" applyBorder="1" applyAlignment="1">
      <alignment horizontal="right" vertical="center"/>
    </xf>
    <xf numFmtId="164" fontId="11" fillId="0" borderId="4" xfId="0" applyNumberFormat="1" applyFont="1" applyBorder="1" applyAlignment="1">
      <alignment horizontal="right" vertical="center"/>
    </xf>
    <xf numFmtId="164" fontId="11" fillId="0" borderId="23" xfId="0" applyNumberFormat="1" applyFont="1" applyBorder="1" applyAlignment="1">
      <alignment horizontal="center" vertical="center"/>
    </xf>
    <xf numFmtId="164" fontId="12" fillId="0" borderId="0" xfId="0" applyNumberFormat="1" applyFont="1" applyAlignment="1">
      <alignment horizontal="left" vertical="center"/>
    </xf>
    <xf numFmtId="164" fontId="12" fillId="0" borderId="0" xfId="0" applyNumberFormat="1" applyFont="1" applyAlignment="1">
      <alignment horizontal="center" vertical="center"/>
    </xf>
    <xf numFmtId="164" fontId="12" fillId="2" borderId="6" xfId="0" applyNumberFormat="1" applyFont="1" applyFill="1" applyBorder="1" applyAlignment="1">
      <alignment horizontal="left" vertical="center"/>
    </xf>
    <xf numFmtId="164" fontId="12" fillId="2" borderId="7" xfId="0" applyNumberFormat="1" applyFont="1" applyFill="1" applyBorder="1" applyAlignment="1">
      <alignment horizontal="left" vertical="center"/>
    </xf>
    <xf numFmtId="164" fontId="12" fillId="2" borderId="8" xfId="0" applyNumberFormat="1" applyFont="1" applyFill="1" applyBorder="1" applyAlignment="1">
      <alignment horizontal="left" vertical="center"/>
    </xf>
    <xf numFmtId="164" fontId="12" fillId="2" borderId="6"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164" fontId="12" fillId="2" borderId="8" xfId="0" applyNumberFormat="1" applyFont="1" applyFill="1" applyBorder="1" applyAlignment="1">
      <alignment horizontal="center" vertical="center"/>
    </xf>
    <xf numFmtId="164" fontId="11" fillId="0" borderId="0" xfId="0" applyNumberFormat="1" applyFont="1" applyAlignment="1">
      <alignment horizontal="center" vertical="center"/>
    </xf>
    <xf numFmtId="164" fontId="12" fillId="2" borderId="0" xfId="0" applyNumberFormat="1" applyFont="1" applyFill="1" applyAlignment="1">
      <alignment horizontal="center" vertical="center"/>
    </xf>
    <xf numFmtId="164" fontId="11" fillId="0" borderId="56" xfId="0" applyNumberFormat="1" applyFont="1" applyBorder="1" applyAlignment="1">
      <alignment horizontal="center" vertical="center"/>
    </xf>
    <xf numFmtId="164" fontId="11" fillId="0" borderId="51" xfId="0" applyNumberFormat="1" applyFont="1" applyBorder="1" applyAlignment="1">
      <alignment horizontal="center" vertical="center"/>
    </xf>
    <xf numFmtId="164" fontId="11" fillId="0" borderId="52" xfId="0" applyNumberFormat="1" applyFont="1" applyBorder="1" applyAlignment="1">
      <alignment horizontal="center" vertical="center"/>
    </xf>
    <xf numFmtId="164" fontId="11" fillId="0" borderId="40" xfId="0" applyNumberFormat="1" applyFont="1" applyBorder="1" applyAlignment="1">
      <alignment horizontal="right" vertical="center"/>
    </xf>
    <xf numFmtId="164" fontId="11" fillId="0" borderId="10" xfId="0" applyNumberFormat="1" applyFont="1" applyBorder="1" applyAlignment="1">
      <alignment horizontal="right" vertical="center"/>
    </xf>
    <xf numFmtId="164" fontId="11" fillId="0" borderId="49" xfId="0" applyNumberFormat="1" applyFont="1" applyBorder="1" applyAlignment="1">
      <alignment horizontal="right" vertical="center"/>
    </xf>
    <xf numFmtId="164" fontId="11" fillId="0" borderId="50" xfId="0" applyNumberFormat="1" applyFont="1" applyBorder="1" applyAlignment="1">
      <alignment horizontal="center" vertical="center"/>
    </xf>
    <xf numFmtId="164" fontId="11" fillId="0" borderId="11" xfId="0" applyNumberFormat="1" applyFont="1" applyBorder="1" applyAlignment="1">
      <alignment horizontal="right" vertical="center"/>
    </xf>
    <xf numFmtId="164" fontId="11" fillId="0" borderId="30" xfId="0" applyNumberFormat="1" applyFont="1" applyBorder="1" applyAlignment="1">
      <alignment horizontal="center" vertical="center"/>
    </xf>
    <xf numFmtId="164" fontId="11" fillId="0" borderId="27" xfId="0" applyNumberFormat="1" applyFont="1" applyBorder="1" applyAlignment="1">
      <alignment horizontal="center" vertical="center"/>
    </xf>
    <xf numFmtId="164" fontId="11" fillId="0" borderId="31" xfId="0" applyNumberFormat="1" applyFont="1" applyBorder="1" applyAlignment="1">
      <alignment horizontal="center" vertical="center"/>
    </xf>
    <xf numFmtId="164" fontId="11" fillId="0" borderId="48" xfId="0" applyNumberFormat="1" applyFont="1" applyBorder="1" applyAlignment="1">
      <alignment horizontal="center" vertical="center"/>
    </xf>
    <xf numFmtId="164" fontId="11" fillId="0" borderId="47" xfId="0" applyNumberFormat="1" applyFont="1" applyBorder="1" applyAlignment="1">
      <alignment horizontal="center" vertical="center"/>
    </xf>
    <xf numFmtId="164" fontId="11" fillId="0" borderId="46" xfId="0" applyNumberFormat="1" applyFont="1" applyBorder="1" applyAlignment="1">
      <alignment horizontal="center" vertical="center"/>
    </xf>
    <xf numFmtId="164" fontId="11" fillId="0" borderId="57" xfId="0" applyNumberFormat="1" applyFont="1" applyBorder="1" applyAlignment="1">
      <alignment horizontal="center" vertical="center"/>
    </xf>
    <xf numFmtId="164" fontId="11" fillId="0" borderId="54" xfId="0" applyNumberFormat="1" applyFont="1" applyBorder="1" applyAlignment="1">
      <alignment horizontal="right" vertical="center"/>
    </xf>
    <xf numFmtId="164" fontId="12" fillId="2" borderId="0" xfId="0" applyNumberFormat="1" applyFont="1" applyFill="1" applyAlignment="1">
      <alignment horizontal="left" vertical="center"/>
    </xf>
    <xf numFmtId="164" fontId="13" fillId="2" borderId="1" xfId="0" applyNumberFormat="1" applyFont="1" applyFill="1" applyBorder="1" applyAlignment="1">
      <alignment horizontal="center" vertical="center"/>
    </xf>
    <xf numFmtId="164" fontId="11" fillId="0" borderId="53" xfId="0" applyNumberFormat="1" applyFont="1" applyBorder="1" applyAlignment="1">
      <alignment horizontal="center" vertical="center"/>
    </xf>
    <xf numFmtId="164" fontId="11" fillId="0" borderId="41" xfId="0" applyNumberFormat="1" applyFont="1" applyBorder="1" applyAlignment="1">
      <alignment horizontal="center" vertical="center"/>
    </xf>
    <xf numFmtId="164" fontId="11" fillId="0" borderId="42" xfId="0" applyNumberFormat="1" applyFont="1" applyBorder="1" applyAlignment="1">
      <alignment horizontal="center" vertical="center"/>
    </xf>
    <xf numFmtId="164" fontId="11" fillId="0" borderId="43" xfId="0" applyNumberFormat="1" applyFont="1" applyBorder="1" applyAlignment="1">
      <alignment horizontal="center" vertical="center"/>
    </xf>
    <xf numFmtId="164" fontId="12" fillId="2" borderId="1" xfId="0" applyNumberFormat="1" applyFont="1" applyFill="1" applyBorder="1" applyAlignment="1">
      <alignment vertical="center" wrapText="1"/>
    </xf>
    <xf numFmtId="9" fontId="16" fillId="3" borderId="33" xfId="0" applyNumberFormat="1" applyFont="1" applyFill="1" applyBorder="1" applyAlignment="1">
      <alignment horizontal="center" vertical="center"/>
    </xf>
    <xf numFmtId="0" fontId="16" fillId="3" borderId="2"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5" xfId="0" applyFont="1" applyFill="1" applyBorder="1" applyAlignment="1">
      <alignment horizontal="left" vertical="center"/>
    </xf>
    <xf numFmtId="0" fontId="5" fillId="3" borderId="9" xfId="1" applyFill="1" applyBorder="1" applyAlignment="1">
      <alignment horizontal="center" vertical="center" wrapText="1"/>
    </xf>
    <xf numFmtId="0" fontId="5" fillId="3" borderId="10" xfId="1" applyFill="1" applyBorder="1" applyAlignment="1">
      <alignment horizontal="center" vertical="center" wrapText="1"/>
    </xf>
    <xf numFmtId="0" fontId="5" fillId="3" borderId="11" xfId="1" applyFill="1" applyBorder="1" applyAlignment="1">
      <alignment horizontal="center" vertical="center" wrapText="1"/>
    </xf>
    <xf numFmtId="0" fontId="15" fillId="0" borderId="0" xfId="0" applyFont="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164" fontId="11" fillId="0" borderId="26" xfId="0" applyNumberFormat="1" applyFont="1" applyBorder="1" applyAlignment="1">
      <alignment horizontal="center" vertical="center"/>
    </xf>
    <xf numFmtId="164" fontId="11" fillId="0" borderId="13" xfId="0" applyNumberFormat="1" applyFont="1" applyBorder="1" applyAlignment="1">
      <alignment horizontal="center" vertical="center"/>
    </xf>
    <xf numFmtId="164" fontId="12" fillId="2" borderId="9" xfId="0" applyNumberFormat="1" applyFont="1" applyFill="1" applyBorder="1" applyAlignment="1">
      <alignment vertical="center" wrapText="1"/>
    </xf>
    <xf numFmtId="164" fontId="12" fillId="2" borderId="10" xfId="0" applyNumberFormat="1" applyFont="1" applyFill="1" applyBorder="1" applyAlignment="1">
      <alignment vertical="center" wrapText="1"/>
    </xf>
    <xf numFmtId="164" fontId="12" fillId="2" borderId="11" xfId="0" applyNumberFormat="1" applyFont="1" applyFill="1" applyBorder="1" applyAlignment="1">
      <alignment vertical="center" wrapText="1"/>
    </xf>
    <xf numFmtId="164" fontId="12" fillId="2" borderId="3" xfId="0" applyNumberFormat="1" applyFont="1" applyFill="1" applyBorder="1" applyAlignment="1">
      <alignment vertical="center" wrapText="1"/>
    </xf>
    <xf numFmtId="164" fontId="12" fillId="2" borderId="0" xfId="0" applyNumberFormat="1" applyFont="1" applyFill="1" applyAlignment="1">
      <alignment vertical="center" wrapText="1"/>
    </xf>
    <xf numFmtId="164" fontId="12" fillId="2" borderId="4" xfId="0" applyNumberFormat="1" applyFont="1" applyFill="1" applyBorder="1" applyAlignment="1">
      <alignment vertical="center" wrapText="1"/>
    </xf>
    <xf numFmtId="164" fontId="12" fillId="2" borderId="33" xfId="0" applyNumberFormat="1" applyFont="1" applyFill="1" applyBorder="1" applyAlignment="1">
      <alignment vertical="center" wrapText="1"/>
    </xf>
    <xf numFmtId="164" fontId="12" fillId="2" borderId="2" xfId="0" applyNumberFormat="1" applyFont="1" applyFill="1" applyBorder="1" applyAlignment="1">
      <alignment vertical="center" wrapText="1"/>
    </xf>
    <xf numFmtId="164" fontId="12" fillId="2" borderId="5" xfId="0" applyNumberFormat="1" applyFont="1" applyFill="1" applyBorder="1" applyAlignment="1">
      <alignment vertical="center" wrapText="1"/>
    </xf>
    <xf numFmtId="164" fontId="12" fillId="5" borderId="12" xfId="0" applyNumberFormat="1" applyFont="1" applyFill="1" applyBorder="1" applyAlignment="1">
      <alignment horizontal="left" vertical="center"/>
    </xf>
    <xf numFmtId="164" fontId="12" fillId="5" borderId="33" xfId="0" applyNumberFormat="1" applyFont="1" applyFill="1" applyBorder="1" applyAlignment="1">
      <alignment horizontal="center" vertical="center"/>
    </xf>
    <xf numFmtId="164" fontId="12" fillId="5" borderId="2" xfId="0" applyNumberFormat="1" applyFont="1" applyFill="1" applyBorder="1" applyAlignment="1">
      <alignment horizontal="center" vertical="center"/>
    </xf>
    <xf numFmtId="164" fontId="12" fillId="5" borderId="5" xfId="0" applyNumberFormat="1" applyFont="1" applyFill="1" applyBorder="1" applyAlignment="1">
      <alignment horizontal="center" vertical="center"/>
    </xf>
    <xf numFmtId="164" fontId="12" fillId="5" borderId="12" xfId="0" applyNumberFormat="1" applyFont="1" applyFill="1" applyBorder="1" applyAlignment="1">
      <alignment horizontal="center" vertical="center"/>
    </xf>
    <xf numFmtId="164" fontId="12" fillId="5" borderId="6" xfId="0" applyNumberFormat="1" applyFont="1" applyFill="1" applyBorder="1" applyAlignment="1">
      <alignment horizontal="center" vertical="center"/>
    </xf>
    <xf numFmtId="164" fontId="12" fillId="5" borderId="7" xfId="0" applyNumberFormat="1" applyFont="1" applyFill="1" applyBorder="1" applyAlignment="1">
      <alignment horizontal="center" vertical="center"/>
    </xf>
    <xf numFmtId="164" fontId="12" fillId="5" borderId="8" xfId="0" applyNumberFormat="1" applyFont="1" applyFill="1" applyBorder="1" applyAlignment="1">
      <alignment horizontal="center" vertical="center"/>
    </xf>
    <xf numFmtId="164" fontId="12" fillId="5" borderId="1" xfId="0" applyNumberFormat="1" applyFont="1" applyFill="1" applyBorder="1" applyAlignment="1">
      <alignment horizontal="left" vertical="center"/>
    </xf>
    <xf numFmtId="164" fontId="12" fillId="5" borderId="1" xfId="0" applyNumberFormat="1" applyFont="1" applyFill="1" applyBorder="1" applyAlignment="1">
      <alignment horizontal="center" vertical="center"/>
    </xf>
    <xf numFmtId="164" fontId="12" fillId="5" borderId="6" xfId="0" applyNumberFormat="1" applyFont="1" applyFill="1" applyBorder="1" applyAlignment="1">
      <alignment horizontal="left" vertical="center"/>
    </xf>
    <xf numFmtId="164" fontId="12" fillId="5" borderId="7" xfId="0" applyNumberFormat="1" applyFont="1" applyFill="1" applyBorder="1" applyAlignment="1">
      <alignment horizontal="left" vertical="center"/>
    </xf>
    <xf numFmtId="164" fontId="12" fillId="5" borderId="8" xfId="0" applyNumberFormat="1" applyFont="1" applyFill="1" applyBorder="1" applyAlignment="1">
      <alignment horizontal="left" vertical="center"/>
    </xf>
    <xf numFmtId="0" fontId="5" fillId="3" borderId="37" xfId="1" applyFill="1" applyBorder="1" applyAlignment="1">
      <alignment horizontal="center" vertical="center" wrapText="1"/>
    </xf>
    <xf numFmtId="0" fontId="8" fillId="0" borderId="6" xfId="0" applyFont="1" applyBorder="1" applyAlignment="1">
      <alignment horizontal="center" vertical="center" wrapText="1"/>
    </xf>
    <xf numFmtId="0" fontId="5" fillId="2" borderId="6" xfId="1" applyFill="1" applyBorder="1" applyAlignment="1">
      <alignment horizontal="center" vertical="center"/>
    </xf>
    <xf numFmtId="0" fontId="5" fillId="2" borderId="7" xfId="1" applyFill="1" applyBorder="1" applyAlignment="1">
      <alignment horizontal="center" vertical="center"/>
    </xf>
    <xf numFmtId="0" fontId="5" fillId="2" borderId="8" xfId="1" applyFill="1" applyBorder="1" applyAlignment="1">
      <alignment horizontal="center" vertical="center"/>
    </xf>
    <xf numFmtId="164" fontId="12" fillId="2" borderId="1" xfId="0" applyNumberFormat="1" applyFont="1" applyFill="1" applyBorder="1" applyAlignment="1">
      <alignment horizontal="left" vertical="top"/>
    </xf>
    <xf numFmtId="164" fontId="12" fillId="2" borderId="6" xfId="0" applyNumberFormat="1" applyFont="1" applyFill="1" applyBorder="1" applyAlignment="1">
      <alignment horizontal="left" vertical="top"/>
    </xf>
    <xf numFmtId="164" fontId="12" fillId="0" borderId="2" xfId="0" applyNumberFormat="1" applyFont="1" applyBorder="1" applyAlignment="1">
      <alignment horizontal="left" vertical="top"/>
    </xf>
    <xf numFmtId="164" fontId="12" fillId="0" borderId="5" xfId="0" applyNumberFormat="1" applyFont="1" applyBorder="1" applyAlignment="1">
      <alignment horizontal="left" vertical="top"/>
    </xf>
    <xf numFmtId="164" fontId="12" fillId="0" borderId="0" xfId="0" applyNumberFormat="1" applyFont="1" applyAlignment="1">
      <alignment horizontal="left" vertical="top"/>
    </xf>
    <xf numFmtId="164" fontId="12" fillId="0" borderId="4" xfId="0" applyNumberFormat="1" applyFont="1" applyBorder="1" applyAlignment="1">
      <alignment horizontal="left" vertical="top"/>
    </xf>
    <xf numFmtId="164" fontId="12" fillId="2" borderId="1" xfId="0" applyNumberFormat="1" applyFont="1" applyFill="1" applyBorder="1" applyAlignment="1">
      <alignment horizontal="left" vertical="top" wrapText="1"/>
    </xf>
    <xf numFmtId="164" fontId="12" fillId="0" borderId="3" xfId="0" applyNumberFormat="1" applyFont="1" applyBorder="1" applyAlignment="1">
      <alignment horizontal="left" vertical="top"/>
    </xf>
    <xf numFmtId="164" fontId="12" fillId="0" borderId="27" xfId="0" applyNumberFormat="1" applyFont="1" applyBorder="1" applyAlignment="1">
      <alignment horizontal="left" vertical="top"/>
    </xf>
    <xf numFmtId="164" fontId="12" fillId="0" borderId="30" xfId="0" applyNumberFormat="1" applyFont="1" applyBorder="1" applyAlignment="1">
      <alignment horizontal="left" vertical="top" wrapText="1"/>
    </xf>
    <xf numFmtId="164" fontId="12" fillId="0" borderId="0" xfId="0" applyNumberFormat="1" applyFont="1" applyAlignment="1">
      <alignment horizontal="left" vertical="top" wrapText="1"/>
    </xf>
    <xf numFmtId="164" fontId="12" fillId="0" borderId="27" xfId="0" applyNumberFormat="1" applyFont="1" applyBorder="1" applyAlignment="1">
      <alignment horizontal="left" vertical="top" wrapText="1"/>
    </xf>
    <xf numFmtId="164" fontId="12" fillId="0" borderId="30" xfId="0" applyNumberFormat="1" applyFont="1" applyBorder="1" applyAlignment="1">
      <alignment horizontal="left" vertical="top"/>
    </xf>
    <xf numFmtId="0" fontId="12" fillId="0" borderId="0" xfId="0" applyFont="1" applyAlignment="1">
      <alignment horizontal="left" vertical="top"/>
    </xf>
    <xf numFmtId="164" fontId="12" fillId="0" borderId="18" xfId="0" applyNumberFormat="1" applyFont="1" applyBorder="1" applyAlignment="1">
      <alignment horizontal="left" vertical="top"/>
    </xf>
    <xf numFmtId="164" fontId="12" fillId="0" borderId="19" xfId="0" applyNumberFormat="1" applyFont="1" applyBorder="1" applyAlignment="1">
      <alignment horizontal="left" vertical="top"/>
    </xf>
    <xf numFmtId="164" fontId="12" fillId="0" borderId="20" xfId="0" applyNumberFormat="1" applyFont="1" applyBorder="1" applyAlignment="1">
      <alignment horizontal="left" vertical="top"/>
    </xf>
    <xf numFmtId="164" fontId="12" fillId="0" borderId="21" xfId="0" applyNumberFormat="1" applyFont="1" applyBorder="1" applyAlignment="1">
      <alignment horizontal="left" vertical="top"/>
    </xf>
    <xf numFmtId="164" fontId="12" fillId="0" borderId="22" xfId="0" applyNumberFormat="1" applyFont="1" applyBorder="1" applyAlignment="1">
      <alignment horizontal="left" vertical="top"/>
    </xf>
    <xf numFmtId="164" fontId="12" fillId="0" borderId="23" xfId="0" applyNumberFormat="1" applyFont="1" applyBorder="1" applyAlignment="1">
      <alignment horizontal="left" vertical="top"/>
    </xf>
    <xf numFmtId="164" fontId="12" fillId="0" borderId="53" xfId="0" applyNumberFormat="1" applyFont="1" applyBorder="1" applyAlignment="1">
      <alignment horizontal="left" vertical="top"/>
    </xf>
    <xf numFmtId="164" fontId="12" fillId="2" borderId="8" xfId="0" applyNumberFormat="1" applyFont="1" applyFill="1" applyBorder="1" applyAlignment="1">
      <alignment horizontal="left" vertical="top"/>
    </xf>
    <xf numFmtId="164" fontId="12" fillId="0" borderId="31" xfId="0" applyNumberFormat="1" applyFont="1" applyBorder="1" applyAlignment="1">
      <alignment horizontal="left" vertical="top"/>
    </xf>
    <xf numFmtId="164" fontId="12" fillId="0" borderId="54" xfId="0" applyNumberFormat="1" applyFont="1" applyBorder="1" applyAlignment="1">
      <alignment horizontal="left" vertical="top"/>
    </xf>
    <xf numFmtId="164" fontId="12" fillId="0" borderId="24" xfId="0" applyNumberFormat="1" applyFont="1" applyBorder="1" applyAlignment="1">
      <alignment horizontal="left" vertical="top"/>
    </xf>
    <xf numFmtId="164" fontId="12" fillId="0" borderId="26" xfId="0" applyNumberFormat="1" applyFont="1" applyBorder="1" applyAlignment="1">
      <alignment horizontal="left" vertical="top"/>
    </xf>
    <xf numFmtId="164" fontId="12" fillId="0" borderId="36" xfId="0" applyNumberFormat="1" applyFont="1" applyBorder="1" applyAlignment="1">
      <alignment horizontal="left" vertical="top"/>
    </xf>
    <xf numFmtId="164" fontId="12" fillId="0" borderId="34" xfId="0" applyNumberFormat="1" applyFont="1" applyBorder="1" applyAlignment="1">
      <alignment horizontal="left" vertical="top"/>
    </xf>
    <xf numFmtId="164" fontId="12" fillId="0" borderId="17" xfId="0" applyNumberFormat="1" applyFont="1" applyBorder="1" applyAlignment="1">
      <alignment horizontal="left" vertical="top"/>
    </xf>
    <xf numFmtId="164" fontId="12" fillId="0" borderId="35" xfId="0" applyNumberFormat="1" applyFont="1" applyBorder="1" applyAlignment="1">
      <alignment horizontal="left" vertical="top"/>
    </xf>
    <xf numFmtId="9" fontId="16" fillId="3" borderId="6" xfId="0" applyNumberFormat="1" applyFont="1" applyFill="1" applyBorder="1" applyAlignment="1">
      <alignment horizontal="center" vertical="center"/>
    </xf>
    <xf numFmtId="0" fontId="16" fillId="3" borderId="7" xfId="0" applyFont="1" applyFill="1" applyBorder="1" applyAlignment="1">
      <alignment horizontal="center" vertical="center"/>
    </xf>
    <xf numFmtId="0" fontId="10" fillId="3" borderId="7" xfId="0" applyFont="1" applyFill="1" applyBorder="1" applyAlignment="1">
      <alignment horizontal="left" vertical="center"/>
    </xf>
    <xf numFmtId="0" fontId="10" fillId="3" borderId="8" xfId="0" applyFont="1" applyFill="1" applyBorder="1" applyAlignment="1">
      <alignment horizontal="left" vertical="center"/>
    </xf>
    <xf numFmtId="164" fontId="12" fillId="0" borderId="59" xfId="0" applyNumberFormat="1" applyFont="1" applyBorder="1" applyAlignment="1">
      <alignment horizontal="left" vertical="top"/>
    </xf>
    <xf numFmtId="164" fontId="12" fillId="0" borderId="28" xfId="0" applyNumberFormat="1" applyFont="1" applyBorder="1" applyAlignment="1">
      <alignment horizontal="left" vertical="top"/>
    </xf>
    <xf numFmtId="164" fontId="12" fillId="0" borderId="29" xfId="0" applyNumberFormat="1" applyFont="1" applyBorder="1" applyAlignment="1">
      <alignment horizontal="left" vertical="top"/>
    </xf>
    <xf numFmtId="0" fontId="8" fillId="0" borderId="0" xfId="0" applyFont="1" applyAlignment="1">
      <alignment horizontal="center" vertical="center"/>
    </xf>
    <xf numFmtId="0" fontId="4" fillId="0" borderId="0" xfId="0" applyFont="1" applyAlignment="1">
      <alignment horizontal="center" vertical="center"/>
    </xf>
    <xf numFmtId="9" fontId="5" fillId="2" borderId="6" xfId="1" applyNumberFormat="1" applyFill="1" applyBorder="1" applyAlignment="1">
      <alignment horizontal="center" vertical="center"/>
    </xf>
    <xf numFmtId="9" fontId="5" fillId="2" borderId="7" xfId="1" applyNumberFormat="1" applyFill="1" applyBorder="1" applyAlignment="1">
      <alignment horizontal="center" vertical="center"/>
    </xf>
    <xf numFmtId="9" fontId="5" fillId="2" borderId="8" xfId="1" applyNumberFormat="1" applyFill="1" applyBorder="1" applyAlignment="1">
      <alignment horizontal="center" vertical="center"/>
    </xf>
    <xf numFmtId="0" fontId="31" fillId="3" borderId="7" xfId="8" applyFont="1" applyFill="1" applyBorder="1" applyAlignment="1">
      <alignment horizontal="center" vertical="center"/>
    </xf>
    <xf numFmtId="0" fontId="31" fillId="3" borderId="8" xfId="8" applyFont="1" applyFill="1" applyBorder="1" applyAlignment="1">
      <alignment horizontal="center" vertical="center"/>
    </xf>
    <xf numFmtId="164" fontId="12" fillId="2" borderId="1" xfId="5" applyNumberFormat="1" applyFont="1" applyFill="1" applyBorder="1" applyAlignment="1">
      <alignment horizontal="center" vertical="center"/>
    </xf>
    <xf numFmtId="164" fontId="12" fillId="2" borderId="1" xfId="5" applyNumberFormat="1" applyFont="1" applyFill="1" applyBorder="1" applyAlignment="1">
      <alignment horizontal="left" vertical="center"/>
    </xf>
    <xf numFmtId="0" fontId="8" fillId="0" borderId="3" xfId="0" applyFont="1" applyBorder="1" applyAlignment="1">
      <alignment horizontal="center" vertical="center"/>
    </xf>
    <xf numFmtId="0" fontId="20" fillId="3" borderId="1" xfId="1" applyFont="1" applyFill="1" applyBorder="1" applyAlignment="1">
      <alignment horizontal="center" vertical="center" wrapText="1"/>
    </xf>
    <xf numFmtId="0" fontId="12" fillId="0" borderId="0" xfId="5" applyFont="1" applyAlignment="1">
      <alignment horizontal="left" vertical="center"/>
    </xf>
    <xf numFmtId="0" fontId="12" fillId="0" borderId="0" xfId="5" applyFont="1" applyAlignment="1">
      <alignment horizontal="center" vertical="center"/>
    </xf>
    <xf numFmtId="0" fontId="11" fillId="0" borderId="26" xfId="5" applyFont="1" applyBorder="1" applyAlignment="1">
      <alignment horizontal="right" vertical="center"/>
    </xf>
    <xf numFmtId="0" fontId="11" fillId="0" borderId="0" xfId="5" applyFont="1" applyAlignment="1">
      <alignment horizontal="right" vertical="center"/>
    </xf>
    <xf numFmtId="0" fontId="11" fillId="0" borderId="13" xfId="5" applyFont="1" applyBorder="1" applyAlignment="1">
      <alignment horizontal="right" vertical="center"/>
    </xf>
    <xf numFmtId="0" fontId="11" fillId="0" borderId="15" xfId="5" applyFont="1" applyBorder="1" applyAlignment="1">
      <alignment horizontal="right" vertical="center"/>
    </xf>
    <xf numFmtId="0" fontId="11" fillId="0" borderId="16" xfId="5" applyFont="1" applyBorder="1" applyAlignment="1">
      <alignment horizontal="right" vertical="center"/>
    </xf>
    <xf numFmtId="0" fontId="11" fillId="0" borderId="18" xfId="5" applyFont="1" applyBorder="1" applyAlignment="1">
      <alignment horizontal="center" vertical="center"/>
    </xf>
    <xf numFmtId="0" fontId="11" fillId="0" borderId="19" xfId="5" applyFont="1" applyBorder="1" applyAlignment="1">
      <alignment horizontal="center" vertical="center"/>
    </xf>
    <xf numFmtId="0" fontId="11" fillId="0" borderId="20" xfId="5" applyFont="1" applyBorder="1" applyAlignment="1">
      <alignment horizontal="center" vertical="center"/>
    </xf>
    <xf numFmtId="0" fontId="11" fillId="0" borderId="14" xfId="5" applyFont="1" applyBorder="1" applyAlignment="1">
      <alignment horizontal="right" vertical="center"/>
    </xf>
    <xf numFmtId="0" fontId="11" fillId="0" borderId="34" xfId="5" applyFont="1" applyBorder="1" applyAlignment="1">
      <alignment horizontal="center" vertical="center"/>
    </xf>
    <xf numFmtId="0" fontId="11" fillId="0" borderId="17" xfId="5" applyFont="1" applyBorder="1" applyAlignment="1">
      <alignment horizontal="center" vertical="center"/>
    </xf>
    <xf numFmtId="0" fontId="11" fillId="0" borderId="35" xfId="5" applyFont="1" applyBorder="1" applyAlignment="1">
      <alignment horizontal="center" vertical="center"/>
    </xf>
    <xf numFmtId="9" fontId="19" fillId="3" borderId="10" xfId="5" applyNumberFormat="1" applyFont="1" applyFill="1" applyBorder="1" applyAlignment="1">
      <alignment horizontal="center" vertical="center"/>
    </xf>
    <xf numFmtId="0" fontId="19" fillId="3" borderId="10" xfId="5" applyFont="1" applyFill="1" applyBorder="1" applyAlignment="1">
      <alignment horizontal="center" vertical="center"/>
    </xf>
    <xf numFmtId="0" fontId="9" fillId="3" borderId="10" xfId="5" applyFont="1" applyFill="1" applyBorder="1" applyAlignment="1">
      <alignment horizontal="left" vertical="center"/>
    </xf>
    <xf numFmtId="0" fontId="9" fillId="3" borderId="11" xfId="5" applyFont="1" applyFill="1" applyBorder="1" applyAlignment="1">
      <alignment horizontal="left" vertical="center"/>
    </xf>
    <xf numFmtId="0" fontId="30" fillId="0" borderId="6" xfId="8" applyFont="1" applyBorder="1" applyAlignment="1">
      <alignment horizontal="center" vertical="center" wrapText="1"/>
    </xf>
    <xf numFmtId="0" fontId="30" fillId="0" borderId="8" xfId="8" applyFont="1" applyBorder="1" applyAlignment="1">
      <alignment horizontal="center" vertical="center" wrapText="1"/>
    </xf>
    <xf numFmtId="9" fontId="22" fillId="3" borderId="6" xfId="6" applyNumberFormat="1" applyFont="1" applyFill="1" applyBorder="1" applyAlignment="1">
      <alignment horizontal="center" vertical="center"/>
    </xf>
    <xf numFmtId="0" fontId="22" fillId="3" borderId="7" xfId="6" applyFont="1" applyFill="1" applyBorder="1" applyAlignment="1">
      <alignment horizontal="center" vertical="center"/>
    </xf>
    <xf numFmtId="0" fontId="10" fillId="3" borderId="7" xfId="6" applyFont="1" applyFill="1" applyBorder="1" applyAlignment="1">
      <alignment horizontal="left" vertical="center"/>
    </xf>
    <xf numFmtId="0" fontId="10" fillId="3" borderId="8" xfId="6" applyFont="1" applyFill="1" applyBorder="1" applyAlignment="1">
      <alignment horizontal="left" vertical="center"/>
    </xf>
    <xf numFmtId="0" fontId="20" fillId="3" borderId="6" xfId="1" applyFont="1" applyFill="1" applyBorder="1" applyAlignment="1">
      <alignment horizontal="center" vertical="center" wrapText="1"/>
    </xf>
    <xf numFmtId="0" fontId="11" fillId="0" borderId="18" xfId="6" applyFont="1" applyBorder="1" applyAlignment="1">
      <alignment horizontal="center" vertical="center"/>
    </xf>
    <xf numFmtId="0" fontId="11" fillId="0" borderId="19" xfId="6" applyFont="1" applyBorder="1" applyAlignment="1">
      <alignment horizontal="center" vertical="center"/>
    </xf>
    <xf numFmtId="0" fontId="11" fillId="0" borderId="20" xfId="6" applyFont="1" applyBorder="1" applyAlignment="1">
      <alignment horizontal="center" vertical="center"/>
    </xf>
    <xf numFmtId="0" fontId="11" fillId="0" borderId="14" xfId="6" applyFont="1" applyBorder="1" applyAlignment="1">
      <alignment horizontal="center" vertical="center"/>
    </xf>
    <xf numFmtId="0" fontId="11" fillId="0" borderId="15" xfId="6" applyFont="1" applyBorder="1" applyAlignment="1">
      <alignment horizontal="center" vertical="center"/>
    </xf>
    <xf numFmtId="0" fontId="11" fillId="0" borderId="16" xfId="6" applyFont="1" applyBorder="1" applyAlignment="1">
      <alignment horizontal="center" vertical="center"/>
    </xf>
    <xf numFmtId="0" fontId="11" fillId="0" borderId="26" xfId="6" applyFont="1" applyBorder="1" applyAlignment="1">
      <alignment horizontal="right" vertical="center"/>
    </xf>
    <xf numFmtId="0" fontId="11" fillId="0" borderId="0" xfId="6" applyFont="1" applyAlignment="1">
      <alignment horizontal="right" vertical="center"/>
    </xf>
    <xf numFmtId="0" fontId="11" fillId="0" borderId="13" xfId="6" applyFont="1" applyBorder="1" applyAlignment="1">
      <alignment horizontal="right" vertical="center"/>
    </xf>
    <xf numFmtId="164" fontId="12" fillId="2" borderId="1" xfId="6" applyNumberFormat="1" applyFont="1" applyFill="1" applyBorder="1" applyAlignment="1">
      <alignment horizontal="left" vertical="center"/>
    </xf>
    <xf numFmtId="164" fontId="12" fillId="2" borderId="1" xfId="6" applyNumberFormat="1" applyFont="1" applyFill="1" applyBorder="1" applyAlignment="1">
      <alignment horizontal="center" vertical="center"/>
    </xf>
    <xf numFmtId="164" fontId="12" fillId="2" borderId="1" xfId="6" applyNumberFormat="1" applyFont="1" applyFill="1" applyBorder="1" applyAlignment="1">
      <alignment vertical="center"/>
    </xf>
    <xf numFmtId="164" fontId="12" fillId="2" borderId="26" xfId="6" applyNumberFormat="1" applyFont="1" applyFill="1" applyBorder="1" applyAlignment="1">
      <alignment vertical="center"/>
    </xf>
    <xf numFmtId="164" fontId="12" fillId="2" borderId="0" xfId="6" applyNumberFormat="1" applyFont="1" applyFill="1" applyAlignment="1">
      <alignment vertical="center"/>
    </xf>
    <xf numFmtId="164" fontId="12" fillId="2" borderId="13" xfId="6" applyNumberFormat="1" applyFont="1" applyFill="1" applyBorder="1" applyAlignment="1">
      <alignment vertical="center"/>
    </xf>
    <xf numFmtId="164" fontId="12" fillId="2" borderId="26" xfId="6" applyNumberFormat="1" applyFont="1" applyFill="1" applyBorder="1" applyAlignment="1">
      <alignment horizontal="center" vertical="center"/>
    </xf>
    <xf numFmtId="164" fontId="12" fillId="2" borderId="0" xfId="6" applyNumberFormat="1" applyFont="1" applyFill="1" applyAlignment="1">
      <alignment horizontal="center" vertical="center"/>
    </xf>
    <xf numFmtId="164" fontId="12" fillId="2" borderId="13" xfId="6" applyNumberFormat="1" applyFont="1" applyFill="1" applyBorder="1" applyAlignment="1">
      <alignment horizontal="center" vertical="center"/>
    </xf>
    <xf numFmtId="164" fontId="12" fillId="2" borderId="26" xfId="6" applyNumberFormat="1" applyFont="1" applyFill="1" applyBorder="1" applyAlignment="1">
      <alignment horizontal="left" vertical="center"/>
    </xf>
    <xf numFmtId="164" fontId="12" fillId="2" borderId="0" xfId="6" applyNumberFormat="1" applyFont="1" applyFill="1" applyAlignment="1">
      <alignment horizontal="left" vertical="center"/>
    </xf>
    <xf numFmtId="164" fontId="12" fillId="2" borderId="13" xfId="6" applyNumberFormat="1" applyFont="1" applyFill="1" applyBorder="1" applyAlignment="1">
      <alignment horizontal="left" vertical="center"/>
    </xf>
    <xf numFmtId="0" fontId="11" fillId="0" borderId="14" xfId="6" applyFont="1" applyBorder="1" applyAlignment="1">
      <alignment horizontal="right" vertical="center"/>
    </xf>
    <xf numFmtId="0" fontId="11" fillId="0" borderId="15" xfId="6" applyFont="1" applyBorder="1" applyAlignment="1">
      <alignment horizontal="right" vertical="center"/>
    </xf>
    <xf numFmtId="0" fontId="11" fillId="0" borderId="16" xfId="6" applyFont="1" applyBorder="1" applyAlignment="1">
      <alignment horizontal="right" vertical="center"/>
    </xf>
    <xf numFmtId="164" fontId="12" fillId="2" borderId="6" xfId="6" applyNumberFormat="1" applyFont="1" applyFill="1" applyBorder="1" applyAlignment="1">
      <alignment horizontal="left" vertical="center"/>
    </xf>
    <xf numFmtId="164" fontId="12" fillId="2" borderId="7" xfId="6" applyNumberFormat="1" applyFont="1" applyFill="1" applyBorder="1" applyAlignment="1">
      <alignment horizontal="left" vertical="center"/>
    </xf>
    <xf numFmtId="164" fontId="12" fillId="2" borderId="8" xfId="6" applyNumberFormat="1" applyFont="1" applyFill="1" applyBorder="1" applyAlignment="1">
      <alignment horizontal="left" vertical="center"/>
    </xf>
    <xf numFmtId="164" fontId="12" fillId="2" borderId="6" xfId="6" applyNumberFormat="1" applyFont="1" applyFill="1" applyBorder="1" applyAlignment="1">
      <alignment horizontal="center" vertical="center"/>
    </xf>
    <xf numFmtId="164" fontId="12" fillId="2" borderId="7" xfId="6" applyNumberFormat="1" applyFont="1" applyFill="1" applyBorder="1" applyAlignment="1">
      <alignment horizontal="center" vertical="center"/>
    </xf>
    <xf numFmtId="164" fontId="12" fillId="2" borderId="8" xfId="6" applyNumberFormat="1" applyFont="1" applyFill="1" applyBorder="1" applyAlignment="1">
      <alignment horizontal="center" vertical="center"/>
    </xf>
    <xf numFmtId="0" fontId="11" fillId="0" borderId="41" xfId="6" applyFont="1" applyBorder="1" applyAlignment="1">
      <alignment horizontal="center" vertical="center"/>
    </xf>
    <xf numFmtId="0" fontId="11" fillId="0" borderId="42" xfId="6" applyFont="1" applyBorder="1" applyAlignment="1">
      <alignment horizontal="center" vertical="center"/>
    </xf>
    <xf numFmtId="0" fontId="11" fillId="0" borderId="43" xfId="6" applyFont="1" applyBorder="1" applyAlignment="1">
      <alignment horizontal="center" vertical="center"/>
    </xf>
    <xf numFmtId="0" fontId="11" fillId="0" borderId="21" xfId="6" applyFont="1" applyBorder="1" applyAlignment="1">
      <alignment horizontal="right" vertical="center"/>
    </xf>
    <xf numFmtId="0" fontId="11" fillId="0" borderId="22" xfId="6" applyFont="1" applyBorder="1" applyAlignment="1">
      <alignment horizontal="right" vertical="center"/>
    </xf>
    <xf numFmtId="0" fontId="11" fillId="0" borderId="23" xfId="6" applyFont="1" applyBorder="1" applyAlignment="1">
      <alignment horizontal="right" vertical="center"/>
    </xf>
    <xf numFmtId="164" fontId="11" fillId="0" borderId="0" xfId="6" applyNumberFormat="1" applyFont="1" applyAlignment="1">
      <alignment horizontal="center" vertical="center"/>
    </xf>
    <xf numFmtId="164" fontId="11" fillId="0" borderId="13" xfId="6" applyNumberFormat="1" applyFont="1" applyBorder="1" applyAlignment="1">
      <alignment horizontal="center" vertical="center"/>
    </xf>
    <xf numFmtId="164" fontId="11" fillId="0" borderId="27" xfId="6" applyNumberFormat="1" applyFont="1" applyBorder="1" applyAlignment="1">
      <alignment horizontal="center" vertical="center"/>
    </xf>
    <xf numFmtId="0" fontId="11" fillId="0" borderId="30" xfId="6" applyFont="1" applyBorder="1" applyAlignment="1">
      <alignment horizontal="right" vertical="center"/>
    </xf>
    <xf numFmtId="0" fontId="11" fillId="0" borderId="27" xfId="6" applyFont="1" applyBorder="1" applyAlignment="1">
      <alignment horizontal="right" vertical="center"/>
    </xf>
    <xf numFmtId="0" fontId="11" fillId="0" borderId="26" xfId="6" applyFont="1" applyBorder="1" applyAlignment="1">
      <alignment horizontal="left" vertical="center" wrapText="1"/>
    </xf>
    <xf numFmtId="0" fontId="11" fillId="0" borderId="0" xfId="6" applyFont="1" applyAlignment="1">
      <alignment horizontal="left" vertical="center" wrapText="1"/>
    </xf>
    <xf numFmtId="0" fontId="11" fillId="0" borderId="4" xfId="6" applyFont="1" applyBorder="1" applyAlignment="1">
      <alignment horizontal="left" vertical="center" wrapText="1"/>
    </xf>
    <xf numFmtId="0" fontId="11" fillId="0" borderId="3" xfId="6" applyFont="1" applyBorder="1" applyAlignment="1">
      <alignment horizontal="left" vertical="center"/>
    </xf>
    <xf numFmtId="0" fontId="11" fillId="0" borderId="0" xfId="6" applyFont="1" applyAlignment="1">
      <alignment horizontal="left" vertical="center"/>
    </xf>
    <xf numFmtId="0" fontId="11" fillId="0" borderId="13" xfId="6" applyFont="1" applyBorder="1" applyAlignment="1">
      <alignment horizontal="left" vertical="center"/>
    </xf>
    <xf numFmtId="164" fontId="12" fillId="2" borderId="6" xfId="6" applyNumberFormat="1" applyFont="1" applyFill="1" applyBorder="1" applyAlignment="1">
      <alignment horizontal="right" vertical="center"/>
    </xf>
    <xf numFmtId="164" fontId="12" fillId="2" borderId="7" xfId="6" applyNumberFormat="1" applyFont="1" applyFill="1" applyBorder="1" applyAlignment="1">
      <alignment horizontal="right" vertical="center"/>
    </xf>
    <xf numFmtId="164" fontId="12" fillId="2" borderId="8" xfId="6" applyNumberFormat="1" applyFont="1" applyFill="1" applyBorder="1" applyAlignment="1">
      <alignment horizontal="right" vertical="center"/>
    </xf>
    <xf numFmtId="164" fontId="13" fillId="2" borderId="1" xfId="6" applyNumberFormat="1" applyFont="1" applyFill="1" applyBorder="1" applyAlignment="1">
      <alignment horizontal="center" vertical="center"/>
    </xf>
    <xf numFmtId="0" fontId="11" fillId="0" borderId="34" xfId="6" applyFont="1" applyBorder="1" applyAlignment="1">
      <alignment horizontal="left" vertical="center"/>
    </xf>
    <xf numFmtId="0" fontId="11" fillId="0" borderId="17" xfId="6" applyFont="1" applyBorder="1" applyAlignment="1">
      <alignment horizontal="left" vertical="center"/>
    </xf>
    <xf numFmtId="0" fontId="11" fillId="0" borderId="62" xfId="6" applyFont="1" applyBorder="1" applyAlignment="1">
      <alignment horizontal="left" vertical="center"/>
    </xf>
    <xf numFmtId="0" fontId="12" fillId="0" borderId="0" xfId="6" applyFont="1" applyAlignment="1">
      <alignment horizontal="left" vertical="center"/>
    </xf>
    <xf numFmtId="0" fontId="8" fillId="0" borderId="3" xfId="0" applyFont="1" applyBorder="1" applyAlignment="1">
      <alignment horizontal="center" vertical="center" wrapText="1"/>
    </xf>
    <xf numFmtId="0" fontId="12" fillId="0" borderId="0" xfId="6" applyFont="1" applyAlignment="1">
      <alignment horizontal="center" vertical="center"/>
    </xf>
    <xf numFmtId="164" fontId="13" fillId="2" borderId="6" xfId="6" applyNumberFormat="1" applyFont="1" applyFill="1" applyBorder="1" applyAlignment="1">
      <alignment horizontal="center" vertical="center"/>
    </xf>
    <xf numFmtId="164" fontId="13" fillId="2" borderId="7" xfId="6" applyNumberFormat="1" applyFont="1" applyFill="1" applyBorder="1" applyAlignment="1">
      <alignment horizontal="center" vertical="center"/>
    </xf>
    <xf numFmtId="164" fontId="13" fillId="2" borderId="8" xfId="6" applyNumberFormat="1" applyFont="1" applyFill="1" applyBorder="1" applyAlignment="1">
      <alignment horizontal="center" vertical="center"/>
    </xf>
    <xf numFmtId="164" fontId="12" fillId="2" borderId="1" xfId="7" applyNumberFormat="1" applyFont="1" applyFill="1" applyBorder="1" applyAlignment="1">
      <alignment horizontal="center" vertical="center"/>
    </xf>
    <xf numFmtId="164" fontId="12" fillId="2" borderId="1" xfId="7" applyNumberFormat="1" applyFont="1" applyFill="1" applyBorder="1" applyAlignment="1">
      <alignment horizontal="left" vertical="center"/>
    </xf>
    <xf numFmtId="0" fontId="12" fillId="0" borderId="0" xfId="7" applyFont="1" applyAlignment="1">
      <alignment horizontal="left" vertical="center"/>
    </xf>
    <xf numFmtId="0" fontId="12" fillId="0" borderId="0" xfId="7" applyFont="1" applyAlignment="1">
      <alignment horizontal="center" vertical="center"/>
    </xf>
    <xf numFmtId="0" fontId="11" fillId="0" borderId="26" xfId="7" applyFont="1" applyBorder="1" applyAlignment="1">
      <alignment horizontal="right" vertical="center"/>
    </xf>
    <xf numFmtId="0" fontId="11" fillId="0" borderId="0" xfId="7" applyFont="1" applyAlignment="1">
      <alignment horizontal="right" vertical="center"/>
    </xf>
    <xf numFmtId="0" fontId="11" fillId="0" borderId="13" xfId="7" applyFont="1" applyBorder="1" applyAlignment="1">
      <alignment horizontal="right" vertical="center"/>
    </xf>
    <xf numFmtId="0" fontId="11" fillId="0" borderId="21" xfId="7" applyFont="1" applyBorder="1" applyAlignment="1">
      <alignment horizontal="center" vertical="center" textRotation="90"/>
    </xf>
    <xf numFmtId="0" fontId="11" fillId="0" borderId="26" xfId="7" applyFont="1" applyBorder="1" applyAlignment="1">
      <alignment horizontal="center" vertical="center" textRotation="90"/>
    </xf>
    <xf numFmtId="0" fontId="11" fillId="0" borderId="22" xfId="7" applyFont="1" applyBorder="1" applyAlignment="1">
      <alignment horizontal="center" vertical="center" textRotation="90"/>
    </xf>
    <xf numFmtId="0" fontId="11" fillId="0" borderId="0" xfId="7" applyFont="1" applyAlignment="1">
      <alignment horizontal="center" vertical="center" textRotation="90"/>
    </xf>
    <xf numFmtId="0" fontId="25" fillId="0" borderId="26" xfId="7" applyFont="1" applyBorder="1" applyAlignment="1">
      <alignment horizontal="center" vertical="center" textRotation="90"/>
    </xf>
    <xf numFmtId="0" fontId="11" fillId="0" borderId="15" xfId="7" applyFont="1" applyBorder="1" applyAlignment="1">
      <alignment horizontal="right" vertical="center"/>
    </xf>
    <xf numFmtId="0" fontId="11" fillId="0" borderId="16" xfId="7" applyFont="1" applyBorder="1" applyAlignment="1">
      <alignment horizontal="right" vertical="center"/>
    </xf>
    <xf numFmtId="0" fontId="11" fillId="0" borderId="18" xfId="7" applyFont="1" applyBorder="1" applyAlignment="1">
      <alignment horizontal="center" vertical="center"/>
    </xf>
    <xf numFmtId="0" fontId="11" fillId="0" borderId="19" xfId="7" applyFont="1" applyBorder="1" applyAlignment="1">
      <alignment horizontal="center" vertical="center"/>
    </xf>
    <xf numFmtId="0" fontId="11" fillId="0" borderId="20" xfId="7" applyFont="1" applyBorder="1" applyAlignment="1">
      <alignment horizontal="center" vertical="center"/>
    </xf>
    <xf numFmtId="0" fontId="25" fillId="0" borderId="15" xfId="7" applyFont="1" applyBorder="1" applyAlignment="1">
      <alignment horizontal="right" vertical="center"/>
    </xf>
    <xf numFmtId="0" fontId="25" fillId="0" borderId="16" xfId="7" applyFont="1" applyBorder="1" applyAlignment="1">
      <alignment horizontal="right" vertical="center"/>
    </xf>
    <xf numFmtId="0" fontId="11" fillId="0" borderId="26" xfId="7" applyFont="1" applyBorder="1" applyAlignment="1">
      <alignment horizontal="center" vertical="center"/>
    </xf>
    <xf numFmtId="0" fontId="11" fillId="0" borderId="0" xfId="7" applyFont="1" applyAlignment="1">
      <alignment horizontal="center" vertical="center"/>
    </xf>
    <xf numFmtId="0" fontId="11" fillId="0" borderId="13" xfId="7" applyFont="1" applyBorder="1" applyAlignment="1">
      <alignment horizontal="center" vertical="center"/>
    </xf>
    <xf numFmtId="0" fontId="11" fillId="0" borderId="63" xfId="7" applyFont="1" applyBorder="1" applyAlignment="1">
      <alignment horizontal="center" vertical="center"/>
    </xf>
    <xf numFmtId="0" fontId="11" fillId="0" borderId="64" xfId="7" applyFont="1" applyBorder="1" applyAlignment="1">
      <alignment horizontal="center" vertical="center"/>
    </xf>
    <xf numFmtId="0" fontId="11" fillId="0" borderId="65" xfId="7" applyFont="1" applyBorder="1" applyAlignment="1">
      <alignment horizontal="center" vertical="center"/>
    </xf>
    <xf numFmtId="9" fontId="16" fillId="3" borderId="7" xfId="7" applyNumberFormat="1" applyFont="1" applyFill="1" applyBorder="1" applyAlignment="1">
      <alignment horizontal="center" vertical="center"/>
    </xf>
    <xf numFmtId="0" fontId="16" fillId="3" borderId="7" xfId="7" applyFont="1" applyFill="1" applyBorder="1" applyAlignment="1">
      <alignment horizontal="center" vertical="center"/>
    </xf>
    <xf numFmtId="0" fontId="10" fillId="3" borderId="7" xfId="7" applyFont="1" applyFill="1" applyBorder="1" applyAlignment="1">
      <alignment horizontal="center" vertical="center"/>
    </xf>
    <xf numFmtId="0" fontId="10" fillId="3" borderId="8" xfId="7" applyFont="1" applyFill="1" applyBorder="1" applyAlignment="1">
      <alignment horizontal="center" vertical="center"/>
    </xf>
    <xf numFmtId="0" fontId="11" fillId="0" borderId="14" xfId="7" applyFont="1" applyBorder="1" applyAlignment="1">
      <alignment horizontal="right" vertical="center"/>
    </xf>
    <xf numFmtId="0" fontId="10" fillId="3" borderId="7" xfId="7" applyFont="1" applyFill="1" applyBorder="1" applyAlignment="1">
      <alignment horizontal="left" vertical="center"/>
    </xf>
    <xf numFmtId="0" fontId="10" fillId="3" borderId="8" xfId="7" applyFont="1" applyFill="1" applyBorder="1" applyAlignment="1">
      <alignment horizontal="left" vertical="center"/>
    </xf>
    <xf numFmtId="0" fontId="4" fillId="0" borderId="37" xfId="0" applyFont="1" applyBorder="1" applyAlignment="1">
      <alignment horizontal="center" vertical="center"/>
    </xf>
    <xf numFmtId="0" fontId="4" fillId="0" borderId="55" xfId="0" applyFont="1" applyBorder="1" applyAlignment="1">
      <alignment horizontal="center" vertical="center"/>
    </xf>
    <xf numFmtId="0" fontId="4" fillId="0" borderId="12" xfId="0" applyFont="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8" fillId="0" borderId="0" xfId="0" applyFont="1" applyAlignment="1">
      <alignment horizontal="center" vertical="center" wrapText="1"/>
    </xf>
  </cellXfs>
  <cellStyles count="9">
    <cellStyle name="Гиперссылка" xfId="1" builtinId="8"/>
    <cellStyle name="Гиперссылка 2" xfId="3" xr:uid="{C4C0E404-D66A-411C-AD4A-7CDE942A5B55}"/>
    <cellStyle name="Гиперссылка 3" xfId="4" xr:uid="{4B7C0BAD-A521-4275-B50C-049A70DACDCC}"/>
    <cellStyle name="Обычный" xfId="0" builtinId="0"/>
    <cellStyle name="Обычный 2" xfId="5" xr:uid="{5B71D176-63A1-447A-B835-FF6DF19973BE}"/>
    <cellStyle name="Обычный 2 2" xfId="6" xr:uid="{7853F143-7A52-4671-A038-CAF56BE73315}"/>
    <cellStyle name="Обычный 2 3" xfId="7" xr:uid="{8515B981-25B7-4414-9BDC-1698534FA01A}"/>
    <cellStyle name="Обычный 3" xfId="2" xr:uid="{E6E3F4FB-001D-46FE-99EB-D3564511909B}"/>
    <cellStyle name="Обычный 4" xfId="8" xr:uid="{B6F0D08D-3D8D-46E8-85AC-C9C254C4EC54}"/>
  </cellStyles>
  <dxfs count="0"/>
  <tableStyles count="0" defaultTableStyle="TableStyleMedium2" defaultPivotStyle="PivotStyleLight16"/>
  <colors>
    <mruColors>
      <color rgb="FFFF9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furnizab.ru/ostavitzayavku" TargetMode="External"/><Relationship Id="rId7" Type="http://schemas.openxmlformats.org/officeDocument/2006/relationships/hyperlink" Target="https://furnizab.ru/dostavka"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furnizab.ru/nachatvibirat" TargetMode="Externa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296.jpeg"/><Relationship Id="rId18" Type="http://schemas.openxmlformats.org/officeDocument/2006/relationships/image" Target="../media/image301.jpeg"/><Relationship Id="rId26" Type="http://schemas.openxmlformats.org/officeDocument/2006/relationships/image" Target="../media/image309.jpeg"/><Relationship Id="rId39" Type="http://schemas.openxmlformats.org/officeDocument/2006/relationships/image" Target="../media/image322.jpeg"/><Relationship Id="rId21" Type="http://schemas.openxmlformats.org/officeDocument/2006/relationships/image" Target="../media/image304.jpeg"/><Relationship Id="rId34" Type="http://schemas.openxmlformats.org/officeDocument/2006/relationships/image" Target="../media/image317.jpeg"/><Relationship Id="rId42" Type="http://schemas.openxmlformats.org/officeDocument/2006/relationships/image" Target="../media/image325.jpeg"/><Relationship Id="rId47" Type="http://schemas.openxmlformats.org/officeDocument/2006/relationships/image" Target="../media/image330.png"/><Relationship Id="rId50" Type="http://schemas.openxmlformats.org/officeDocument/2006/relationships/image" Target="../media/image119.png"/><Relationship Id="rId7" Type="http://schemas.openxmlformats.org/officeDocument/2006/relationships/image" Target="../media/image290.jpeg"/><Relationship Id="rId2" Type="http://schemas.openxmlformats.org/officeDocument/2006/relationships/image" Target="../media/image285.jpeg"/><Relationship Id="rId16" Type="http://schemas.openxmlformats.org/officeDocument/2006/relationships/image" Target="../media/image299.jpeg"/><Relationship Id="rId29" Type="http://schemas.openxmlformats.org/officeDocument/2006/relationships/image" Target="../media/image312.jpeg"/><Relationship Id="rId11" Type="http://schemas.openxmlformats.org/officeDocument/2006/relationships/image" Target="../media/image294.jpeg"/><Relationship Id="rId24" Type="http://schemas.openxmlformats.org/officeDocument/2006/relationships/image" Target="../media/image307.jpeg"/><Relationship Id="rId32" Type="http://schemas.openxmlformats.org/officeDocument/2006/relationships/image" Target="../media/image315.jpeg"/><Relationship Id="rId37" Type="http://schemas.openxmlformats.org/officeDocument/2006/relationships/image" Target="../media/image320.jpeg"/><Relationship Id="rId40" Type="http://schemas.openxmlformats.org/officeDocument/2006/relationships/image" Target="../media/image323.jpeg"/><Relationship Id="rId45" Type="http://schemas.openxmlformats.org/officeDocument/2006/relationships/image" Target="../media/image328.jpeg"/><Relationship Id="rId5" Type="http://schemas.openxmlformats.org/officeDocument/2006/relationships/image" Target="../media/image288.jpeg"/><Relationship Id="rId15" Type="http://schemas.openxmlformats.org/officeDocument/2006/relationships/image" Target="../media/image298.jpeg"/><Relationship Id="rId23" Type="http://schemas.openxmlformats.org/officeDocument/2006/relationships/image" Target="../media/image306.jpeg"/><Relationship Id="rId28" Type="http://schemas.openxmlformats.org/officeDocument/2006/relationships/image" Target="../media/image311.jpeg"/><Relationship Id="rId36" Type="http://schemas.openxmlformats.org/officeDocument/2006/relationships/image" Target="../media/image319.jpeg"/><Relationship Id="rId49" Type="http://schemas.openxmlformats.org/officeDocument/2006/relationships/image" Target="../media/image332.png"/><Relationship Id="rId10" Type="http://schemas.openxmlformats.org/officeDocument/2006/relationships/image" Target="../media/image293.jpeg"/><Relationship Id="rId19" Type="http://schemas.openxmlformats.org/officeDocument/2006/relationships/image" Target="../media/image302.jpeg"/><Relationship Id="rId31" Type="http://schemas.openxmlformats.org/officeDocument/2006/relationships/image" Target="../media/image314.jpeg"/><Relationship Id="rId44" Type="http://schemas.openxmlformats.org/officeDocument/2006/relationships/image" Target="../media/image327.jpeg"/><Relationship Id="rId4" Type="http://schemas.openxmlformats.org/officeDocument/2006/relationships/image" Target="../media/image287.jpeg"/><Relationship Id="rId9" Type="http://schemas.openxmlformats.org/officeDocument/2006/relationships/image" Target="../media/image292.jpeg"/><Relationship Id="rId14" Type="http://schemas.openxmlformats.org/officeDocument/2006/relationships/image" Target="../media/image297.jpeg"/><Relationship Id="rId22" Type="http://schemas.openxmlformats.org/officeDocument/2006/relationships/image" Target="../media/image305.jpeg"/><Relationship Id="rId27" Type="http://schemas.openxmlformats.org/officeDocument/2006/relationships/image" Target="../media/image310.jpeg"/><Relationship Id="rId30" Type="http://schemas.openxmlformats.org/officeDocument/2006/relationships/image" Target="../media/image313.jpeg"/><Relationship Id="rId35" Type="http://schemas.openxmlformats.org/officeDocument/2006/relationships/image" Target="../media/image318.jpeg"/><Relationship Id="rId43" Type="http://schemas.openxmlformats.org/officeDocument/2006/relationships/image" Target="../media/image326.jpeg"/><Relationship Id="rId48" Type="http://schemas.openxmlformats.org/officeDocument/2006/relationships/image" Target="../media/image331.png"/><Relationship Id="rId8" Type="http://schemas.openxmlformats.org/officeDocument/2006/relationships/image" Target="../media/image291.jpeg"/><Relationship Id="rId51" Type="http://schemas.openxmlformats.org/officeDocument/2006/relationships/image" Target="../media/image68.png"/><Relationship Id="rId3" Type="http://schemas.openxmlformats.org/officeDocument/2006/relationships/image" Target="../media/image286.jpeg"/><Relationship Id="rId12" Type="http://schemas.openxmlformats.org/officeDocument/2006/relationships/image" Target="../media/image295.jpeg"/><Relationship Id="rId17" Type="http://schemas.openxmlformats.org/officeDocument/2006/relationships/image" Target="../media/image300.jpeg"/><Relationship Id="rId25" Type="http://schemas.openxmlformats.org/officeDocument/2006/relationships/image" Target="../media/image308.jpeg"/><Relationship Id="rId33" Type="http://schemas.openxmlformats.org/officeDocument/2006/relationships/image" Target="../media/image316.jpeg"/><Relationship Id="rId38" Type="http://schemas.openxmlformats.org/officeDocument/2006/relationships/image" Target="../media/image321.jpeg"/><Relationship Id="rId46" Type="http://schemas.openxmlformats.org/officeDocument/2006/relationships/image" Target="../media/image329.jpeg"/><Relationship Id="rId20" Type="http://schemas.openxmlformats.org/officeDocument/2006/relationships/image" Target="../media/image303.jpeg"/><Relationship Id="rId41" Type="http://schemas.openxmlformats.org/officeDocument/2006/relationships/image" Target="../media/image324.jpeg"/><Relationship Id="rId1" Type="http://schemas.openxmlformats.org/officeDocument/2006/relationships/image" Target="../media/image284.jpeg"/><Relationship Id="rId6" Type="http://schemas.openxmlformats.org/officeDocument/2006/relationships/image" Target="../media/image28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68.png"/><Relationship Id="rId3" Type="http://schemas.openxmlformats.org/officeDocument/2006/relationships/image" Target="../media/image335.png"/><Relationship Id="rId7" Type="http://schemas.openxmlformats.org/officeDocument/2006/relationships/image" Target="../media/image119.png"/><Relationship Id="rId2" Type="http://schemas.openxmlformats.org/officeDocument/2006/relationships/image" Target="../media/image334.png"/><Relationship Id="rId1" Type="http://schemas.openxmlformats.org/officeDocument/2006/relationships/image" Target="../media/image333.png"/><Relationship Id="rId6" Type="http://schemas.openxmlformats.org/officeDocument/2006/relationships/image" Target="../media/image338.png"/><Relationship Id="rId5" Type="http://schemas.openxmlformats.org/officeDocument/2006/relationships/image" Target="../media/image337.png"/><Relationship Id="rId4" Type="http://schemas.openxmlformats.org/officeDocument/2006/relationships/image" Target="../media/image33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40.png"/><Relationship Id="rId1" Type="http://schemas.openxmlformats.org/officeDocument/2006/relationships/image" Target="../media/image339.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8.jpeg"/><Relationship Id="rId18" Type="http://schemas.openxmlformats.org/officeDocument/2006/relationships/image" Target="../media/image23.jpeg"/><Relationship Id="rId26" Type="http://schemas.openxmlformats.org/officeDocument/2006/relationships/image" Target="../media/image31.png"/><Relationship Id="rId39" Type="http://schemas.openxmlformats.org/officeDocument/2006/relationships/image" Target="../media/image44.jpeg"/><Relationship Id="rId21" Type="http://schemas.openxmlformats.org/officeDocument/2006/relationships/image" Target="../media/image26.jpeg"/><Relationship Id="rId34" Type="http://schemas.openxmlformats.org/officeDocument/2006/relationships/image" Target="../media/image39.jpeg"/><Relationship Id="rId42" Type="http://schemas.openxmlformats.org/officeDocument/2006/relationships/image" Target="../media/image47.png"/><Relationship Id="rId47" Type="http://schemas.openxmlformats.org/officeDocument/2006/relationships/image" Target="../media/image52.png"/><Relationship Id="rId50" Type="http://schemas.openxmlformats.org/officeDocument/2006/relationships/image" Target="../media/image55.png"/><Relationship Id="rId55" Type="http://schemas.openxmlformats.org/officeDocument/2006/relationships/image" Target="../media/image60.png"/><Relationship Id="rId63" Type="http://schemas.openxmlformats.org/officeDocument/2006/relationships/image" Target="../media/image68.png"/><Relationship Id="rId7" Type="http://schemas.openxmlformats.org/officeDocument/2006/relationships/image" Target="../media/image12.jpeg"/><Relationship Id="rId2" Type="http://schemas.openxmlformats.org/officeDocument/2006/relationships/image" Target="../media/image7.jpeg"/><Relationship Id="rId16" Type="http://schemas.openxmlformats.org/officeDocument/2006/relationships/image" Target="../media/image21.jpeg"/><Relationship Id="rId29" Type="http://schemas.openxmlformats.org/officeDocument/2006/relationships/image" Target="../media/image34.png"/><Relationship Id="rId11" Type="http://schemas.openxmlformats.org/officeDocument/2006/relationships/image" Target="../media/image16.jpeg"/><Relationship Id="rId24" Type="http://schemas.openxmlformats.org/officeDocument/2006/relationships/image" Target="../media/image29.png"/><Relationship Id="rId32" Type="http://schemas.openxmlformats.org/officeDocument/2006/relationships/image" Target="../media/image37.jpeg"/><Relationship Id="rId37" Type="http://schemas.openxmlformats.org/officeDocument/2006/relationships/image" Target="../media/image42.jpeg"/><Relationship Id="rId40" Type="http://schemas.openxmlformats.org/officeDocument/2006/relationships/image" Target="../media/image45.jpeg"/><Relationship Id="rId45" Type="http://schemas.openxmlformats.org/officeDocument/2006/relationships/image" Target="../media/image50.png"/><Relationship Id="rId53" Type="http://schemas.openxmlformats.org/officeDocument/2006/relationships/image" Target="../media/image58.png"/><Relationship Id="rId58" Type="http://schemas.openxmlformats.org/officeDocument/2006/relationships/image" Target="../media/image63.png"/><Relationship Id="rId5" Type="http://schemas.openxmlformats.org/officeDocument/2006/relationships/image" Target="../media/image10.jpeg"/><Relationship Id="rId61" Type="http://schemas.openxmlformats.org/officeDocument/2006/relationships/image" Target="../media/image66.png"/><Relationship Id="rId19" Type="http://schemas.openxmlformats.org/officeDocument/2006/relationships/image" Target="../media/image24.jpeg"/><Relationship Id="rId14" Type="http://schemas.openxmlformats.org/officeDocument/2006/relationships/image" Target="../media/image19.jpeg"/><Relationship Id="rId22" Type="http://schemas.openxmlformats.org/officeDocument/2006/relationships/image" Target="../media/image27.jpe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48" Type="http://schemas.openxmlformats.org/officeDocument/2006/relationships/image" Target="../media/image53.png"/><Relationship Id="rId56" Type="http://schemas.openxmlformats.org/officeDocument/2006/relationships/image" Target="../media/image61.png"/><Relationship Id="rId8" Type="http://schemas.openxmlformats.org/officeDocument/2006/relationships/image" Target="../media/image13.jpeg"/><Relationship Id="rId51" Type="http://schemas.openxmlformats.org/officeDocument/2006/relationships/image" Target="../media/image56.png"/><Relationship Id="rId3" Type="http://schemas.openxmlformats.org/officeDocument/2006/relationships/image" Target="../media/image8.jpeg"/><Relationship Id="rId12" Type="http://schemas.openxmlformats.org/officeDocument/2006/relationships/image" Target="../media/image17.jpeg"/><Relationship Id="rId17" Type="http://schemas.openxmlformats.org/officeDocument/2006/relationships/image" Target="../media/image22.jpeg"/><Relationship Id="rId25" Type="http://schemas.openxmlformats.org/officeDocument/2006/relationships/image" Target="../media/image30.png"/><Relationship Id="rId33" Type="http://schemas.openxmlformats.org/officeDocument/2006/relationships/image" Target="../media/image38.jpeg"/><Relationship Id="rId38" Type="http://schemas.openxmlformats.org/officeDocument/2006/relationships/image" Target="../media/image43.jpeg"/><Relationship Id="rId46" Type="http://schemas.openxmlformats.org/officeDocument/2006/relationships/image" Target="../media/image51.png"/><Relationship Id="rId59" Type="http://schemas.openxmlformats.org/officeDocument/2006/relationships/image" Target="../media/image64.png"/><Relationship Id="rId20" Type="http://schemas.openxmlformats.org/officeDocument/2006/relationships/image" Target="../media/image25.jpeg"/><Relationship Id="rId41" Type="http://schemas.openxmlformats.org/officeDocument/2006/relationships/image" Target="../media/image46.jpeg"/><Relationship Id="rId54" Type="http://schemas.openxmlformats.org/officeDocument/2006/relationships/image" Target="../media/image59.png"/><Relationship Id="rId62" Type="http://schemas.openxmlformats.org/officeDocument/2006/relationships/image" Target="../media/image67.png"/><Relationship Id="rId1" Type="http://schemas.openxmlformats.org/officeDocument/2006/relationships/image" Target="../media/image6.jpeg"/><Relationship Id="rId6" Type="http://schemas.openxmlformats.org/officeDocument/2006/relationships/image" Target="../media/image11.jpeg"/><Relationship Id="rId15" Type="http://schemas.openxmlformats.org/officeDocument/2006/relationships/image" Target="../media/image20.jpe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 Id="rId57" Type="http://schemas.openxmlformats.org/officeDocument/2006/relationships/image" Target="../media/image62.png"/><Relationship Id="rId10" Type="http://schemas.openxmlformats.org/officeDocument/2006/relationships/image" Target="../media/image15.jpeg"/><Relationship Id="rId31" Type="http://schemas.openxmlformats.org/officeDocument/2006/relationships/image" Target="../media/image36.gif"/><Relationship Id="rId44" Type="http://schemas.openxmlformats.org/officeDocument/2006/relationships/image" Target="../media/image49.png"/><Relationship Id="rId52" Type="http://schemas.openxmlformats.org/officeDocument/2006/relationships/image" Target="../media/image57.jpeg"/><Relationship Id="rId60" Type="http://schemas.openxmlformats.org/officeDocument/2006/relationships/image" Target="../media/image65.png"/><Relationship Id="rId4" Type="http://schemas.openxmlformats.org/officeDocument/2006/relationships/image" Target="../media/image9.jpeg"/><Relationship Id="rId9"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81.jpeg"/><Relationship Id="rId18" Type="http://schemas.openxmlformats.org/officeDocument/2006/relationships/image" Target="../media/image86.jpeg"/><Relationship Id="rId26" Type="http://schemas.openxmlformats.org/officeDocument/2006/relationships/image" Target="../media/image94.jpeg"/><Relationship Id="rId39" Type="http://schemas.openxmlformats.org/officeDocument/2006/relationships/image" Target="../media/image103.png"/><Relationship Id="rId21" Type="http://schemas.openxmlformats.org/officeDocument/2006/relationships/image" Target="../media/image89.jpeg"/><Relationship Id="rId34" Type="http://schemas.openxmlformats.org/officeDocument/2006/relationships/image" Target="../media/image98.png"/><Relationship Id="rId42" Type="http://schemas.openxmlformats.org/officeDocument/2006/relationships/image" Target="../media/image106.png"/><Relationship Id="rId47" Type="http://schemas.openxmlformats.org/officeDocument/2006/relationships/image" Target="../media/image110.jpeg"/><Relationship Id="rId50" Type="http://schemas.openxmlformats.org/officeDocument/2006/relationships/image" Target="../media/image68.png"/><Relationship Id="rId7" Type="http://schemas.openxmlformats.org/officeDocument/2006/relationships/image" Target="../media/image75.jpeg"/><Relationship Id="rId2" Type="http://schemas.openxmlformats.org/officeDocument/2006/relationships/image" Target="../media/image70.jpeg"/><Relationship Id="rId16" Type="http://schemas.openxmlformats.org/officeDocument/2006/relationships/image" Target="../media/image84.jpeg"/><Relationship Id="rId29" Type="http://schemas.openxmlformats.org/officeDocument/2006/relationships/image" Target="../media/image97.png"/><Relationship Id="rId11" Type="http://schemas.openxmlformats.org/officeDocument/2006/relationships/image" Target="../media/image79.jpeg"/><Relationship Id="rId24" Type="http://schemas.openxmlformats.org/officeDocument/2006/relationships/image" Target="../media/image92.jpeg"/><Relationship Id="rId32" Type="http://schemas.openxmlformats.org/officeDocument/2006/relationships/image" Target="../media/image54.png"/><Relationship Id="rId37" Type="http://schemas.openxmlformats.org/officeDocument/2006/relationships/image" Target="../media/image101.png"/><Relationship Id="rId40" Type="http://schemas.openxmlformats.org/officeDocument/2006/relationships/image" Target="../media/image104.png"/><Relationship Id="rId45" Type="http://schemas.openxmlformats.org/officeDocument/2006/relationships/image" Target="../media/image67.png"/><Relationship Id="rId5" Type="http://schemas.openxmlformats.org/officeDocument/2006/relationships/image" Target="../media/image73.jpeg"/><Relationship Id="rId15" Type="http://schemas.openxmlformats.org/officeDocument/2006/relationships/image" Target="../media/image83.jpeg"/><Relationship Id="rId23" Type="http://schemas.openxmlformats.org/officeDocument/2006/relationships/image" Target="../media/image91.jpeg"/><Relationship Id="rId28" Type="http://schemas.openxmlformats.org/officeDocument/2006/relationships/image" Target="../media/image96.png"/><Relationship Id="rId36" Type="http://schemas.openxmlformats.org/officeDocument/2006/relationships/image" Target="../media/image100.png"/><Relationship Id="rId49" Type="http://schemas.openxmlformats.org/officeDocument/2006/relationships/image" Target="../media/image112.jpeg"/><Relationship Id="rId10" Type="http://schemas.openxmlformats.org/officeDocument/2006/relationships/image" Target="../media/image78.jpeg"/><Relationship Id="rId19" Type="http://schemas.openxmlformats.org/officeDocument/2006/relationships/image" Target="../media/image87.jpeg"/><Relationship Id="rId31" Type="http://schemas.openxmlformats.org/officeDocument/2006/relationships/image" Target="../media/image53.png"/><Relationship Id="rId44" Type="http://schemas.openxmlformats.org/officeDocument/2006/relationships/image" Target="../media/image108.png"/><Relationship Id="rId4" Type="http://schemas.openxmlformats.org/officeDocument/2006/relationships/image" Target="../media/image72.jpeg"/><Relationship Id="rId9" Type="http://schemas.openxmlformats.org/officeDocument/2006/relationships/image" Target="../media/image77.jpeg"/><Relationship Id="rId14" Type="http://schemas.openxmlformats.org/officeDocument/2006/relationships/image" Target="../media/image82.jpeg"/><Relationship Id="rId22" Type="http://schemas.openxmlformats.org/officeDocument/2006/relationships/image" Target="../media/image90.jpeg"/><Relationship Id="rId27" Type="http://schemas.openxmlformats.org/officeDocument/2006/relationships/image" Target="../media/image95.jpeg"/><Relationship Id="rId30" Type="http://schemas.openxmlformats.org/officeDocument/2006/relationships/image" Target="../media/image52.png"/><Relationship Id="rId35" Type="http://schemas.openxmlformats.org/officeDocument/2006/relationships/image" Target="../media/image99.jpeg"/><Relationship Id="rId43" Type="http://schemas.openxmlformats.org/officeDocument/2006/relationships/image" Target="../media/image107.png"/><Relationship Id="rId48" Type="http://schemas.openxmlformats.org/officeDocument/2006/relationships/image" Target="../media/image111.jpeg"/><Relationship Id="rId8" Type="http://schemas.openxmlformats.org/officeDocument/2006/relationships/image" Target="../media/image76.jpeg"/><Relationship Id="rId3" Type="http://schemas.openxmlformats.org/officeDocument/2006/relationships/image" Target="../media/image71.jpeg"/><Relationship Id="rId12" Type="http://schemas.openxmlformats.org/officeDocument/2006/relationships/image" Target="../media/image80.jpeg"/><Relationship Id="rId17" Type="http://schemas.openxmlformats.org/officeDocument/2006/relationships/image" Target="../media/image85.jpeg"/><Relationship Id="rId25" Type="http://schemas.openxmlformats.org/officeDocument/2006/relationships/image" Target="../media/image93.jpeg"/><Relationship Id="rId33" Type="http://schemas.openxmlformats.org/officeDocument/2006/relationships/image" Target="../media/image55.png"/><Relationship Id="rId38" Type="http://schemas.openxmlformats.org/officeDocument/2006/relationships/image" Target="../media/image102.png"/><Relationship Id="rId46" Type="http://schemas.openxmlformats.org/officeDocument/2006/relationships/image" Target="../media/image109.jpeg"/><Relationship Id="rId20" Type="http://schemas.openxmlformats.org/officeDocument/2006/relationships/image" Target="../media/image88.jpeg"/><Relationship Id="rId41" Type="http://schemas.openxmlformats.org/officeDocument/2006/relationships/image" Target="../media/image105.png"/><Relationship Id="rId1" Type="http://schemas.openxmlformats.org/officeDocument/2006/relationships/image" Target="../media/image69.jpeg"/><Relationship Id="rId6" Type="http://schemas.openxmlformats.org/officeDocument/2006/relationships/image" Target="../media/image7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68.png"/><Relationship Id="rId13" Type="http://schemas.openxmlformats.org/officeDocument/2006/relationships/image" Target="../media/image124.png"/><Relationship Id="rId3" Type="http://schemas.openxmlformats.org/officeDocument/2006/relationships/image" Target="../media/image115.png"/><Relationship Id="rId7" Type="http://schemas.openxmlformats.org/officeDocument/2006/relationships/image" Target="../media/image119.png"/><Relationship Id="rId12" Type="http://schemas.openxmlformats.org/officeDocument/2006/relationships/image" Target="../media/image123.png"/><Relationship Id="rId2" Type="http://schemas.openxmlformats.org/officeDocument/2006/relationships/image" Target="../media/image114.png"/><Relationship Id="rId1" Type="http://schemas.openxmlformats.org/officeDocument/2006/relationships/image" Target="../media/image113.png"/><Relationship Id="rId6" Type="http://schemas.openxmlformats.org/officeDocument/2006/relationships/image" Target="../media/image118.png"/><Relationship Id="rId11" Type="http://schemas.openxmlformats.org/officeDocument/2006/relationships/image" Target="../media/image122.png"/><Relationship Id="rId5" Type="http://schemas.openxmlformats.org/officeDocument/2006/relationships/image" Target="../media/image117.png"/><Relationship Id="rId10" Type="http://schemas.openxmlformats.org/officeDocument/2006/relationships/image" Target="../media/image121.png"/><Relationship Id="rId4" Type="http://schemas.openxmlformats.org/officeDocument/2006/relationships/image" Target="../media/image116.png"/><Relationship Id="rId9" Type="http://schemas.openxmlformats.org/officeDocument/2006/relationships/image" Target="../media/image1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9.png"/><Relationship Id="rId13" Type="http://schemas.openxmlformats.org/officeDocument/2006/relationships/image" Target="../media/image134.png"/><Relationship Id="rId18" Type="http://schemas.openxmlformats.org/officeDocument/2006/relationships/image" Target="../media/image139.png"/><Relationship Id="rId3" Type="http://schemas.openxmlformats.org/officeDocument/2006/relationships/image" Target="../media/image68.png"/><Relationship Id="rId21" Type="http://schemas.openxmlformats.org/officeDocument/2006/relationships/image" Target="../media/image142.png"/><Relationship Id="rId7" Type="http://schemas.openxmlformats.org/officeDocument/2006/relationships/image" Target="../media/image128.png"/><Relationship Id="rId12" Type="http://schemas.openxmlformats.org/officeDocument/2006/relationships/image" Target="../media/image133.png"/><Relationship Id="rId17" Type="http://schemas.openxmlformats.org/officeDocument/2006/relationships/image" Target="../media/image138.png"/><Relationship Id="rId25" Type="http://schemas.openxmlformats.org/officeDocument/2006/relationships/image" Target="../media/image146.png"/><Relationship Id="rId2" Type="http://schemas.openxmlformats.org/officeDocument/2006/relationships/image" Target="../media/image119.png"/><Relationship Id="rId16" Type="http://schemas.openxmlformats.org/officeDocument/2006/relationships/image" Target="../media/image137.png"/><Relationship Id="rId20" Type="http://schemas.openxmlformats.org/officeDocument/2006/relationships/image" Target="../media/image141.png"/><Relationship Id="rId1" Type="http://schemas.openxmlformats.org/officeDocument/2006/relationships/image" Target="../media/image118.png"/><Relationship Id="rId6" Type="http://schemas.openxmlformats.org/officeDocument/2006/relationships/image" Target="../media/image127.png"/><Relationship Id="rId11" Type="http://schemas.openxmlformats.org/officeDocument/2006/relationships/image" Target="../media/image132.png"/><Relationship Id="rId24" Type="http://schemas.openxmlformats.org/officeDocument/2006/relationships/image" Target="../media/image145.png"/><Relationship Id="rId5" Type="http://schemas.openxmlformats.org/officeDocument/2006/relationships/image" Target="../media/image126.png"/><Relationship Id="rId15" Type="http://schemas.openxmlformats.org/officeDocument/2006/relationships/image" Target="../media/image136.png"/><Relationship Id="rId23" Type="http://schemas.openxmlformats.org/officeDocument/2006/relationships/image" Target="../media/image144.png"/><Relationship Id="rId10" Type="http://schemas.openxmlformats.org/officeDocument/2006/relationships/image" Target="../media/image131.png"/><Relationship Id="rId19" Type="http://schemas.openxmlformats.org/officeDocument/2006/relationships/image" Target="../media/image140.png"/><Relationship Id="rId4" Type="http://schemas.openxmlformats.org/officeDocument/2006/relationships/image" Target="../media/image125.png"/><Relationship Id="rId9" Type="http://schemas.openxmlformats.org/officeDocument/2006/relationships/image" Target="../media/image130.png"/><Relationship Id="rId14" Type="http://schemas.openxmlformats.org/officeDocument/2006/relationships/image" Target="../media/image135.png"/><Relationship Id="rId22" Type="http://schemas.openxmlformats.org/officeDocument/2006/relationships/image" Target="../media/image143.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59.jpeg"/><Relationship Id="rId18" Type="http://schemas.openxmlformats.org/officeDocument/2006/relationships/image" Target="../media/image164.jpeg"/><Relationship Id="rId26" Type="http://schemas.openxmlformats.org/officeDocument/2006/relationships/image" Target="../media/image172.jpeg"/><Relationship Id="rId39" Type="http://schemas.openxmlformats.org/officeDocument/2006/relationships/image" Target="../media/image185.jpeg"/><Relationship Id="rId21" Type="http://schemas.openxmlformats.org/officeDocument/2006/relationships/image" Target="../media/image167.jpeg"/><Relationship Id="rId34" Type="http://schemas.openxmlformats.org/officeDocument/2006/relationships/image" Target="../media/image180.jpeg"/><Relationship Id="rId42" Type="http://schemas.openxmlformats.org/officeDocument/2006/relationships/image" Target="../media/image188.jpeg"/><Relationship Id="rId7" Type="http://schemas.openxmlformats.org/officeDocument/2006/relationships/image" Target="../media/image153.jpeg"/><Relationship Id="rId2" Type="http://schemas.openxmlformats.org/officeDocument/2006/relationships/image" Target="../media/image148.jpeg"/><Relationship Id="rId16" Type="http://schemas.openxmlformats.org/officeDocument/2006/relationships/image" Target="../media/image162.jpeg"/><Relationship Id="rId20" Type="http://schemas.openxmlformats.org/officeDocument/2006/relationships/image" Target="../media/image166.jpeg"/><Relationship Id="rId29" Type="http://schemas.openxmlformats.org/officeDocument/2006/relationships/image" Target="../media/image175.jpeg"/><Relationship Id="rId41" Type="http://schemas.openxmlformats.org/officeDocument/2006/relationships/image" Target="../media/image187.jpeg"/><Relationship Id="rId1" Type="http://schemas.openxmlformats.org/officeDocument/2006/relationships/image" Target="../media/image147.jpeg"/><Relationship Id="rId6" Type="http://schemas.openxmlformats.org/officeDocument/2006/relationships/image" Target="../media/image152.jpeg"/><Relationship Id="rId11" Type="http://schemas.openxmlformats.org/officeDocument/2006/relationships/image" Target="../media/image157.jpeg"/><Relationship Id="rId24" Type="http://schemas.openxmlformats.org/officeDocument/2006/relationships/image" Target="../media/image170.jpeg"/><Relationship Id="rId32" Type="http://schemas.openxmlformats.org/officeDocument/2006/relationships/image" Target="../media/image178.jpeg"/><Relationship Id="rId37" Type="http://schemas.openxmlformats.org/officeDocument/2006/relationships/image" Target="../media/image183.jpeg"/><Relationship Id="rId40" Type="http://schemas.openxmlformats.org/officeDocument/2006/relationships/image" Target="../media/image186.jpeg"/><Relationship Id="rId5" Type="http://schemas.openxmlformats.org/officeDocument/2006/relationships/image" Target="../media/image151.jpeg"/><Relationship Id="rId15" Type="http://schemas.openxmlformats.org/officeDocument/2006/relationships/image" Target="../media/image161.jpeg"/><Relationship Id="rId23" Type="http://schemas.openxmlformats.org/officeDocument/2006/relationships/image" Target="../media/image169.jpeg"/><Relationship Id="rId28" Type="http://schemas.openxmlformats.org/officeDocument/2006/relationships/image" Target="../media/image174.jpeg"/><Relationship Id="rId36" Type="http://schemas.openxmlformats.org/officeDocument/2006/relationships/image" Target="../media/image182.jpeg"/><Relationship Id="rId10" Type="http://schemas.openxmlformats.org/officeDocument/2006/relationships/image" Target="../media/image156.jpeg"/><Relationship Id="rId19" Type="http://schemas.openxmlformats.org/officeDocument/2006/relationships/image" Target="../media/image165.jpeg"/><Relationship Id="rId31" Type="http://schemas.openxmlformats.org/officeDocument/2006/relationships/image" Target="../media/image177.jpeg"/><Relationship Id="rId44" Type="http://schemas.openxmlformats.org/officeDocument/2006/relationships/image" Target="../media/image68.png"/><Relationship Id="rId4" Type="http://schemas.openxmlformats.org/officeDocument/2006/relationships/image" Target="../media/image150.jpeg"/><Relationship Id="rId9" Type="http://schemas.openxmlformats.org/officeDocument/2006/relationships/image" Target="../media/image155.jpeg"/><Relationship Id="rId14" Type="http://schemas.openxmlformats.org/officeDocument/2006/relationships/image" Target="../media/image160.jpeg"/><Relationship Id="rId22" Type="http://schemas.openxmlformats.org/officeDocument/2006/relationships/image" Target="../media/image168.jpeg"/><Relationship Id="rId27" Type="http://schemas.openxmlformats.org/officeDocument/2006/relationships/image" Target="../media/image173.jpeg"/><Relationship Id="rId30" Type="http://schemas.openxmlformats.org/officeDocument/2006/relationships/image" Target="../media/image176.jpeg"/><Relationship Id="rId35" Type="http://schemas.openxmlformats.org/officeDocument/2006/relationships/image" Target="../media/image181.jpeg"/><Relationship Id="rId43" Type="http://schemas.openxmlformats.org/officeDocument/2006/relationships/image" Target="../media/image67.png"/><Relationship Id="rId8" Type="http://schemas.openxmlformats.org/officeDocument/2006/relationships/image" Target="../media/image154.jpeg"/><Relationship Id="rId3" Type="http://schemas.openxmlformats.org/officeDocument/2006/relationships/image" Target="../media/image149.jpeg"/><Relationship Id="rId12" Type="http://schemas.openxmlformats.org/officeDocument/2006/relationships/image" Target="../media/image158.jpeg"/><Relationship Id="rId17" Type="http://schemas.openxmlformats.org/officeDocument/2006/relationships/image" Target="../media/image163.jpeg"/><Relationship Id="rId25" Type="http://schemas.openxmlformats.org/officeDocument/2006/relationships/image" Target="../media/image171.jpeg"/><Relationship Id="rId33" Type="http://schemas.openxmlformats.org/officeDocument/2006/relationships/image" Target="../media/image179.jpeg"/><Relationship Id="rId38" Type="http://schemas.openxmlformats.org/officeDocument/2006/relationships/image" Target="../media/image18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93.png"/><Relationship Id="rId3" Type="http://schemas.openxmlformats.org/officeDocument/2006/relationships/image" Target="../media/image68.png"/><Relationship Id="rId7" Type="http://schemas.openxmlformats.org/officeDocument/2006/relationships/image" Target="../media/image192.pn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91.png"/><Relationship Id="rId5" Type="http://schemas.openxmlformats.org/officeDocument/2006/relationships/image" Target="../media/image190.png"/><Relationship Id="rId4" Type="http://schemas.openxmlformats.org/officeDocument/2006/relationships/image" Target="../media/image189.png"/></Relationships>
</file>

<file path=xl/drawings/_rels/drawing8.xml.rels><?xml version="1.0" encoding="UTF-8" standalone="yes"?>
<Relationships xmlns="http://schemas.openxmlformats.org/package/2006/relationships"><Relationship Id="rId13" Type="http://schemas.openxmlformats.org/officeDocument/2006/relationships/image" Target="../media/image206.jpeg"/><Relationship Id="rId18" Type="http://schemas.openxmlformats.org/officeDocument/2006/relationships/image" Target="../media/image211.jpeg"/><Relationship Id="rId26" Type="http://schemas.openxmlformats.org/officeDocument/2006/relationships/image" Target="../media/image219.jpeg"/><Relationship Id="rId39" Type="http://schemas.openxmlformats.org/officeDocument/2006/relationships/image" Target="../media/image232.jpeg"/><Relationship Id="rId21" Type="http://schemas.openxmlformats.org/officeDocument/2006/relationships/image" Target="../media/image214.jpeg"/><Relationship Id="rId34" Type="http://schemas.openxmlformats.org/officeDocument/2006/relationships/image" Target="../media/image227.jpeg"/><Relationship Id="rId42" Type="http://schemas.openxmlformats.org/officeDocument/2006/relationships/image" Target="../media/image235.png"/><Relationship Id="rId47" Type="http://schemas.openxmlformats.org/officeDocument/2006/relationships/image" Target="../media/image68.png"/><Relationship Id="rId7" Type="http://schemas.openxmlformats.org/officeDocument/2006/relationships/image" Target="../media/image200.jpeg"/><Relationship Id="rId2" Type="http://schemas.openxmlformats.org/officeDocument/2006/relationships/image" Target="../media/image195.jpeg"/><Relationship Id="rId16" Type="http://schemas.openxmlformats.org/officeDocument/2006/relationships/image" Target="../media/image209.jpeg"/><Relationship Id="rId29" Type="http://schemas.openxmlformats.org/officeDocument/2006/relationships/image" Target="../media/image222.jpeg"/><Relationship Id="rId1" Type="http://schemas.openxmlformats.org/officeDocument/2006/relationships/image" Target="../media/image194.jpeg"/><Relationship Id="rId6" Type="http://schemas.openxmlformats.org/officeDocument/2006/relationships/image" Target="../media/image199.jpeg"/><Relationship Id="rId11" Type="http://schemas.openxmlformats.org/officeDocument/2006/relationships/image" Target="../media/image204.jpeg"/><Relationship Id="rId24" Type="http://schemas.openxmlformats.org/officeDocument/2006/relationships/image" Target="../media/image217.jpeg"/><Relationship Id="rId32" Type="http://schemas.openxmlformats.org/officeDocument/2006/relationships/image" Target="../media/image225.jpeg"/><Relationship Id="rId37" Type="http://schemas.openxmlformats.org/officeDocument/2006/relationships/image" Target="../media/image230.jpeg"/><Relationship Id="rId40" Type="http://schemas.openxmlformats.org/officeDocument/2006/relationships/image" Target="../media/image233.jpeg"/><Relationship Id="rId45" Type="http://schemas.microsoft.com/office/2007/relationships/hdphoto" Target="../media/hdphoto2.wdp"/><Relationship Id="rId5" Type="http://schemas.openxmlformats.org/officeDocument/2006/relationships/image" Target="../media/image198.jpeg"/><Relationship Id="rId15" Type="http://schemas.openxmlformats.org/officeDocument/2006/relationships/image" Target="../media/image208.jpeg"/><Relationship Id="rId23" Type="http://schemas.openxmlformats.org/officeDocument/2006/relationships/image" Target="../media/image216.jpeg"/><Relationship Id="rId28" Type="http://schemas.openxmlformats.org/officeDocument/2006/relationships/image" Target="../media/image221.jpeg"/><Relationship Id="rId36" Type="http://schemas.openxmlformats.org/officeDocument/2006/relationships/image" Target="../media/image229.jpeg"/><Relationship Id="rId10" Type="http://schemas.openxmlformats.org/officeDocument/2006/relationships/image" Target="../media/image203.jpeg"/><Relationship Id="rId19" Type="http://schemas.openxmlformats.org/officeDocument/2006/relationships/image" Target="../media/image212.jpeg"/><Relationship Id="rId31" Type="http://schemas.openxmlformats.org/officeDocument/2006/relationships/image" Target="../media/image224.jpeg"/><Relationship Id="rId44" Type="http://schemas.openxmlformats.org/officeDocument/2006/relationships/image" Target="../media/image236.png"/><Relationship Id="rId4" Type="http://schemas.openxmlformats.org/officeDocument/2006/relationships/image" Target="../media/image197.jpeg"/><Relationship Id="rId9" Type="http://schemas.openxmlformats.org/officeDocument/2006/relationships/image" Target="../media/image202.jpeg"/><Relationship Id="rId14" Type="http://schemas.openxmlformats.org/officeDocument/2006/relationships/image" Target="../media/image207.jpeg"/><Relationship Id="rId22" Type="http://schemas.openxmlformats.org/officeDocument/2006/relationships/image" Target="../media/image215.jpeg"/><Relationship Id="rId27" Type="http://schemas.openxmlformats.org/officeDocument/2006/relationships/image" Target="../media/image220.jpeg"/><Relationship Id="rId30" Type="http://schemas.openxmlformats.org/officeDocument/2006/relationships/image" Target="../media/image223.jpeg"/><Relationship Id="rId35" Type="http://schemas.openxmlformats.org/officeDocument/2006/relationships/image" Target="../media/image228.jpeg"/><Relationship Id="rId43" Type="http://schemas.microsoft.com/office/2007/relationships/hdphoto" Target="../media/hdphoto1.wdp"/><Relationship Id="rId8" Type="http://schemas.openxmlformats.org/officeDocument/2006/relationships/image" Target="../media/image201.jpeg"/><Relationship Id="rId3" Type="http://schemas.openxmlformats.org/officeDocument/2006/relationships/image" Target="../media/image196.jpeg"/><Relationship Id="rId12" Type="http://schemas.openxmlformats.org/officeDocument/2006/relationships/image" Target="../media/image205.jpeg"/><Relationship Id="rId17" Type="http://schemas.openxmlformats.org/officeDocument/2006/relationships/image" Target="../media/image210.jpeg"/><Relationship Id="rId25" Type="http://schemas.openxmlformats.org/officeDocument/2006/relationships/image" Target="../media/image218.jpeg"/><Relationship Id="rId33" Type="http://schemas.openxmlformats.org/officeDocument/2006/relationships/image" Target="../media/image226.jpeg"/><Relationship Id="rId38" Type="http://schemas.openxmlformats.org/officeDocument/2006/relationships/image" Target="../media/image231.jpeg"/><Relationship Id="rId46" Type="http://schemas.openxmlformats.org/officeDocument/2006/relationships/image" Target="../media/image67.png"/><Relationship Id="rId20" Type="http://schemas.openxmlformats.org/officeDocument/2006/relationships/image" Target="../media/image213.jpeg"/><Relationship Id="rId41" Type="http://schemas.openxmlformats.org/officeDocument/2006/relationships/image" Target="../media/image234.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249.jpeg"/><Relationship Id="rId18" Type="http://schemas.openxmlformats.org/officeDocument/2006/relationships/image" Target="../media/image254.jpeg"/><Relationship Id="rId26" Type="http://schemas.openxmlformats.org/officeDocument/2006/relationships/image" Target="../media/image262.jpeg"/><Relationship Id="rId39" Type="http://schemas.openxmlformats.org/officeDocument/2006/relationships/image" Target="../media/image275.jpeg"/><Relationship Id="rId21" Type="http://schemas.openxmlformats.org/officeDocument/2006/relationships/image" Target="../media/image257.jpeg"/><Relationship Id="rId34" Type="http://schemas.openxmlformats.org/officeDocument/2006/relationships/image" Target="../media/image270.jpeg"/><Relationship Id="rId42" Type="http://schemas.openxmlformats.org/officeDocument/2006/relationships/image" Target="../media/image278.jpeg"/><Relationship Id="rId47" Type="http://schemas.openxmlformats.org/officeDocument/2006/relationships/image" Target="../media/image283.png"/><Relationship Id="rId7" Type="http://schemas.openxmlformats.org/officeDocument/2006/relationships/image" Target="../media/image243.jpeg"/><Relationship Id="rId2" Type="http://schemas.openxmlformats.org/officeDocument/2006/relationships/image" Target="../media/image238.jpeg"/><Relationship Id="rId16" Type="http://schemas.openxmlformats.org/officeDocument/2006/relationships/image" Target="../media/image252.jpeg"/><Relationship Id="rId29" Type="http://schemas.openxmlformats.org/officeDocument/2006/relationships/image" Target="../media/image265.jpeg"/><Relationship Id="rId1" Type="http://schemas.openxmlformats.org/officeDocument/2006/relationships/image" Target="../media/image237.jpeg"/><Relationship Id="rId6" Type="http://schemas.openxmlformats.org/officeDocument/2006/relationships/image" Target="../media/image242.jpeg"/><Relationship Id="rId11" Type="http://schemas.openxmlformats.org/officeDocument/2006/relationships/image" Target="../media/image247.jpeg"/><Relationship Id="rId24" Type="http://schemas.openxmlformats.org/officeDocument/2006/relationships/image" Target="../media/image260.jpeg"/><Relationship Id="rId32" Type="http://schemas.openxmlformats.org/officeDocument/2006/relationships/image" Target="../media/image268.jpeg"/><Relationship Id="rId37" Type="http://schemas.openxmlformats.org/officeDocument/2006/relationships/image" Target="../media/image273.jpeg"/><Relationship Id="rId40" Type="http://schemas.openxmlformats.org/officeDocument/2006/relationships/image" Target="../media/image276.jpeg"/><Relationship Id="rId45" Type="http://schemas.openxmlformats.org/officeDocument/2006/relationships/image" Target="../media/image281.jpeg"/><Relationship Id="rId5" Type="http://schemas.openxmlformats.org/officeDocument/2006/relationships/image" Target="../media/image241.jpeg"/><Relationship Id="rId15" Type="http://schemas.openxmlformats.org/officeDocument/2006/relationships/image" Target="../media/image251.jpeg"/><Relationship Id="rId23" Type="http://schemas.openxmlformats.org/officeDocument/2006/relationships/image" Target="../media/image259.jpeg"/><Relationship Id="rId28" Type="http://schemas.openxmlformats.org/officeDocument/2006/relationships/image" Target="../media/image264.jpeg"/><Relationship Id="rId36" Type="http://schemas.openxmlformats.org/officeDocument/2006/relationships/image" Target="../media/image272.jpeg"/><Relationship Id="rId10" Type="http://schemas.openxmlformats.org/officeDocument/2006/relationships/image" Target="../media/image246.jpeg"/><Relationship Id="rId19" Type="http://schemas.openxmlformats.org/officeDocument/2006/relationships/image" Target="../media/image255.jpeg"/><Relationship Id="rId31" Type="http://schemas.openxmlformats.org/officeDocument/2006/relationships/image" Target="../media/image267.jpeg"/><Relationship Id="rId44" Type="http://schemas.openxmlformats.org/officeDocument/2006/relationships/image" Target="../media/image280.jpeg"/><Relationship Id="rId4" Type="http://schemas.openxmlformats.org/officeDocument/2006/relationships/image" Target="../media/image240.jpeg"/><Relationship Id="rId9" Type="http://schemas.openxmlformats.org/officeDocument/2006/relationships/image" Target="../media/image245.jpeg"/><Relationship Id="rId14" Type="http://schemas.openxmlformats.org/officeDocument/2006/relationships/image" Target="../media/image250.jpeg"/><Relationship Id="rId22" Type="http://schemas.openxmlformats.org/officeDocument/2006/relationships/image" Target="../media/image258.jpeg"/><Relationship Id="rId27" Type="http://schemas.openxmlformats.org/officeDocument/2006/relationships/image" Target="../media/image263.jpeg"/><Relationship Id="rId30" Type="http://schemas.openxmlformats.org/officeDocument/2006/relationships/image" Target="../media/image266.jpeg"/><Relationship Id="rId35" Type="http://schemas.openxmlformats.org/officeDocument/2006/relationships/image" Target="../media/image271.jpeg"/><Relationship Id="rId43" Type="http://schemas.openxmlformats.org/officeDocument/2006/relationships/image" Target="../media/image279.jpeg"/><Relationship Id="rId48" Type="http://schemas.openxmlformats.org/officeDocument/2006/relationships/image" Target="../media/image68.png"/><Relationship Id="rId8" Type="http://schemas.openxmlformats.org/officeDocument/2006/relationships/image" Target="../media/image244.jpeg"/><Relationship Id="rId3" Type="http://schemas.openxmlformats.org/officeDocument/2006/relationships/image" Target="../media/image239.jpeg"/><Relationship Id="rId12" Type="http://schemas.openxmlformats.org/officeDocument/2006/relationships/image" Target="../media/image248.jpeg"/><Relationship Id="rId17" Type="http://schemas.openxmlformats.org/officeDocument/2006/relationships/image" Target="../media/image253.jpeg"/><Relationship Id="rId25" Type="http://schemas.openxmlformats.org/officeDocument/2006/relationships/image" Target="../media/image261.jpeg"/><Relationship Id="rId33" Type="http://schemas.openxmlformats.org/officeDocument/2006/relationships/image" Target="../media/image269.jpeg"/><Relationship Id="rId38" Type="http://schemas.openxmlformats.org/officeDocument/2006/relationships/image" Target="../media/image274.jpeg"/><Relationship Id="rId46" Type="http://schemas.openxmlformats.org/officeDocument/2006/relationships/image" Target="../media/image282.jpeg"/><Relationship Id="rId20" Type="http://schemas.openxmlformats.org/officeDocument/2006/relationships/image" Target="../media/image256.jpeg"/><Relationship Id="rId41" Type="http://schemas.openxmlformats.org/officeDocument/2006/relationships/image" Target="../media/image277.jpeg"/></Relationships>
</file>

<file path=xl/drawings/drawing1.xml><?xml version="1.0" encoding="utf-8"?>
<xdr:wsDr xmlns:xdr="http://schemas.openxmlformats.org/drawingml/2006/spreadsheetDrawing" xmlns:a="http://schemas.openxmlformats.org/drawingml/2006/main">
  <xdr:twoCellAnchor editAs="oneCell">
    <xdr:from>
      <xdr:col>1</xdr:col>
      <xdr:colOff>1370935</xdr:colOff>
      <xdr:row>5</xdr:row>
      <xdr:rowOff>0</xdr:rowOff>
    </xdr:from>
    <xdr:to>
      <xdr:col>2</xdr:col>
      <xdr:colOff>1278</xdr:colOff>
      <xdr:row>7</xdr:row>
      <xdr:rowOff>127942</xdr:rowOff>
    </xdr:to>
    <xdr:pic>
      <xdr:nvPicPr>
        <xdr:cNvPr id="3" name="Рисунок 2">
          <a:extLst>
            <a:ext uri="{FF2B5EF4-FFF2-40B4-BE49-F238E27FC236}">
              <a16:creationId xmlns:a16="http://schemas.microsoft.com/office/drawing/2014/main" id="{73AFD071-409C-4257-8E9C-87FB37C9622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357089" flipH="1">
          <a:off x="1675735" y="1457010"/>
          <a:ext cx="554393" cy="547042"/>
        </a:xfrm>
        <a:prstGeom prst="rect">
          <a:avLst/>
        </a:prstGeom>
      </xdr:spPr>
    </xdr:pic>
    <xdr:clientData/>
  </xdr:twoCellAnchor>
  <xdr:twoCellAnchor editAs="oneCell">
    <xdr:from>
      <xdr:col>0</xdr:col>
      <xdr:colOff>200026</xdr:colOff>
      <xdr:row>0</xdr:row>
      <xdr:rowOff>133350</xdr:rowOff>
    </xdr:from>
    <xdr:to>
      <xdr:col>2</xdr:col>
      <xdr:colOff>1114426</xdr:colOff>
      <xdr:row>3</xdr:row>
      <xdr:rowOff>269859</xdr:rowOff>
    </xdr:to>
    <xdr:pic>
      <xdr:nvPicPr>
        <xdr:cNvPr id="5" name="Рисунок 4">
          <a:extLst>
            <a:ext uri="{FF2B5EF4-FFF2-40B4-BE49-F238E27FC236}">
              <a16:creationId xmlns:a16="http://schemas.microsoft.com/office/drawing/2014/main" id="{5D165253-738E-4176-815A-844CEAB8B38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0026" y="133350"/>
          <a:ext cx="3143250" cy="70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1314450</xdr:colOff>
      <xdr:row>15</xdr:row>
      <xdr:rowOff>28575</xdr:rowOff>
    </xdr:from>
    <xdr:to>
      <xdr:col>2</xdr:col>
      <xdr:colOff>85725</xdr:colOff>
      <xdr:row>15</xdr:row>
      <xdr:rowOff>723900</xdr:rowOff>
    </xdr:to>
    <xdr:pic>
      <xdr:nvPicPr>
        <xdr:cNvPr id="19" name="Рисунок 18">
          <a:hlinkClick xmlns:r="http://schemas.openxmlformats.org/officeDocument/2006/relationships" r:id="rId3"/>
          <a:extLst>
            <a:ext uri="{FF2B5EF4-FFF2-40B4-BE49-F238E27FC236}">
              <a16:creationId xmlns:a16="http://schemas.microsoft.com/office/drawing/2014/main" id="{D700BE46-23CF-4A3B-83C3-9B12FB005DA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9250" y="3190875"/>
          <a:ext cx="695325" cy="695325"/>
        </a:xfrm>
        <a:prstGeom prst="rect">
          <a:avLst/>
        </a:prstGeom>
      </xdr:spPr>
    </xdr:pic>
    <xdr:clientData/>
  </xdr:twoCellAnchor>
  <xdr:twoCellAnchor editAs="oneCell">
    <xdr:from>
      <xdr:col>2</xdr:col>
      <xdr:colOff>676276</xdr:colOff>
      <xdr:row>15</xdr:row>
      <xdr:rowOff>28575</xdr:rowOff>
    </xdr:from>
    <xdr:to>
      <xdr:col>2</xdr:col>
      <xdr:colOff>1363608</xdr:colOff>
      <xdr:row>15</xdr:row>
      <xdr:rowOff>723900</xdr:rowOff>
    </xdr:to>
    <xdr:pic>
      <xdr:nvPicPr>
        <xdr:cNvPr id="20" name="Рисунок 19">
          <a:hlinkClick xmlns:r="http://schemas.openxmlformats.org/officeDocument/2006/relationships" r:id="rId5"/>
          <a:extLst>
            <a:ext uri="{FF2B5EF4-FFF2-40B4-BE49-F238E27FC236}">
              <a16:creationId xmlns:a16="http://schemas.microsoft.com/office/drawing/2014/main" id="{66AD9293-9FBA-407C-B51F-77ABC3C174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05126" y="3190875"/>
          <a:ext cx="687332" cy="695325"/>
        </a:xfrm>
        <a:prstGeom prst="rect">
          <a:avLst/>
        </a:prstGeom>
      </xdr:spPr>
    </xdr:pic>
    <xdr:clientData/>
  </xdr:twoCellAnchor>
  <xdr:oneCellAnchor>
    <xdr:from>
      <xdr:col>1</xdr:col>
      <xdr:colOff>1085850</xdr:colOff>
      <xdr:row>15</xdr:row>
      <xdr:rowOff>666750</xdr:rowOff>
    </xdr:from>
    <xdr:ext cx="1209675" cy="264560"/>
    <xdr:sp macro="" textlink="">
      <xdr:nvSpPr>
        <xdr:cNvPr id="21" name="TextBox 20">
          <a:hlinkClick xmlns:r="http://schemas.openxmlformats.org/officeDocument/2006/relationships" r:id="rId3"/>
          <a:extLst>
            <a:ext uri="{FF2B5EF4-FFF2-40B4-BE49-F238E27FC236}">
              <a16:creationId xmlns:a16="http://schemas.microsoft.com/office/drawing/2014/main" id="{54DA5A62-BBE9-49B7-A18E-34516FE5774D}"/>
            </a:ext>
          </a:extLst>
        </xdr:cNvPr>
        <xdr:cNvSpPr txBox="1"/>
      </xdr:nvSpPr>
      <xdr:spPr>
        <a:xfrm>
          <a:off x="1390650" y="3829050"/>
          <a:ext cx="12096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b="1">
              <a:latin typeface="Arial" panose="020B0604020202020204" pitchFamily="34" charset="0"/>
              <a:cs typeface="Arial" panose="020B0604020202020204" pitchFamily="34" charset="0"/>
            </a:rPr>
            <a:t>Сделать</a:t>
          </a:r>
          <a:r>
            <a:rPr lang="ru-RU" sz="1100" b="1" baseline="0">
              <a:latin typeface="Arial" panose="020B0604020202020204" pitchFamily="34" charset="0"/>
              <a:cs typeface="Arial" panose="020B0604020202020204" pitchFamily="34" charset="0"/>
            </a:rPr>
            <a:t> </a:t>
          </a:r>
          <a:r>
            <a:rPr lang="ru-RU" sz="1100" b="1">
              <a:latin typeface="Arial" panose="020B0604020202020204" pitchFamily="34" charset="0"/>
              <a:cs typeface="Arial" panose="020B0604020202020204" pitchFamily="34" charset="0"/>
            </a:rPr>
            <a:t>заказ</a:t>
          </a:r>
        </a:p>
      </xdr:txBody>
    </xdr:sp>
    <xdr:clientData/>
  </xdr:oneCellAnchor>
  <xdr:oneCellAnchor>
    <xdr:from>
      <xdr:col>2</xdr:col>
      <xdr:colOff>342901</xdr:colOff>
      <xdr:row>15</xdr:row>
      <xdr:rowOff>666750</xdr:rowOff>
    </xdr:from>
    <xdr:ext cx="1390650" cy="254557"/>
    <xdr:sp macro="" textlink="">
      <xdr:nvSpPr>
        <xdr:cNvPr id="22" name="TextBox 21">
          <a:hlinkClick xmlns:r="http://schemas.openxmlformats.org/officeDocument/2006/relationships" r:id="rId5"/>
          <a:extLst>
            <a:ext uri="{FF2B5EF4-FFF2-40B4-BE49-F238E27FC236}">
              <a16:creationId xmlns:a16="http://schemas.microsoft.com/office/drawing/2014/main" id="{6D9C4456-B077-4873-A493-6A16FC3115BC}"/>
            </a:ext>
          </a:extLst>
        </xdr:cNvPr>
        <xdr:cNvSpPr txBox="1"/>
      </xdr:nvSpPr>
      <xdr:spPr>
        <a:xfrm>
          <a:off x="2571751" y="3829050"/>
          <a:ext cx="139065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b="1">
              <a:latin typeface="Arial" panose="020B0604020202020204" pitchFamily="34" charset="0"/>
              <a:cs typeface="Arial" panose="020B0604020202020204" pitchFamily="34" charset="0"/>
            </a:rPr>
            <a:t>Все прайс</a:t>
          </a:r>
          <a:r>
            <a:rPr lang="ru-RU" sz="1100" b="1" baseline="0">
              <a:latin typeface="Arial" panose="020B0604020202020204" pitchFamily="34" charset="0"/>
              <a:cs typeface="Arial" panose="020B0604020202020204" pitchFamily="34" charset="0"/>
            </a:rPr>
            <a:t> </a:t>
          </a:r>
          <a:r>
            <a:rPr lang="ru-RU" sz="1100" b="1">
              <a:latin typeface="Arial" panose="020B0604020202020204" pitchFamily="34" charset="0"/>
              <a:cs typeface="Arial" panose="020B0604020202020204" pitchFamily="34" charset="0"/>
            </a:rPr>
            <a:t>листы</a:t>
          </a:r>
        </a:p>
      </xdr:txBody>
    </xdr:sp>
    <xdr:clientData/>
  </xdr:oneCellAnchor>
  <xdr:twoCellAnchor editAs="oneCell">
    <xdr:from>
      <xdr:col>2</xdr:col>
      <xdr:colOff>1885950</xdr:colOff>
      <xdr:row>15</xdr:row>
      <xdr:rowOff>28575</xdr:rowOff>
    </xdr:from>
    <xdr:to>
      <xdr:col>2</xdr:col>
      <xdr:colOff>2590800</xdr:colOff>
      <xdr:row>15</xdr:row>
      <xdr:rowOff>741620</xdr:rowOff>
    </xdr:to>
    <xdr:pic>
      <xdr:nvPicPr>
        <xdr:cNvPr id="23" name="Рисунок 22">
          <a:hlinkClick xmlns:r="http://schemas.openxmlformats.org/officeDocument/2006/relationships" r:id="rId7"/>
          <a:extLst>
            <a:ext uri="{FF2B5EF4-FFF2-40B4-BE49-F238E27FC236}">
              <a16:creationId xmlns:a16="http://schemas.microsoft.com/office/drawing/2014/main" id="{3B7E5200-F5F7-4153-BDAB-2BED9DA6B79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114800" y="3190875"/>
          <a:ext cx="704850" cy="713045"/>
        </a:xfrm>
        <a:prstGeom prst="rect">
          <a:avLst/>
        </a:prstGeom>
      </xdr:spPr>
    </xdr:pic>
    <xdr:clientData/>
  </xdr:twoCellAnchor>
  <xdr:oneCellAnchor>
    <xdr:from>
      <xdr:col>2</xdr:col>
      <xdr:colOff>1800225</xdr:colOff>
      <xdr:row>15</xdr:row>
      <xdr:rowOff>685800</xdr:rowOff>
    </xdr:from>
    <xdr:ext cx="866775" cy="254557"/>
    <xdr:sp macro="" textlink="">
      <xdr:nvSpPr>
        <xdr:cNvPr id="24" name="TextBox 23">
          <a:hlinkClick xmlns:r="http://schemas.openxmlformats.org/officeDocument/2006/relationships" r:id="rId7"/>
          <a:extLst>
            <a:ext uri="{FF2B5EF4-FFF2-40B4-BE49-F238E27FC236}">
              <a16:creationId xmlns:a16="http://schemas.microsoft.com/office/drawing/2014/main" id="{6CBD436D-EF76-473F-8D64-6562BF107666}"/>
            </a:ext>
          </a:extLst>
        </xdr:cNvPr>
        <xdr:cNvSpPr txBox="1"/>
      </xdr:nvSpPr>
      <xdr:spPr>
        <a:xfrm>
          <a:off x="4029075" y="3848100"/>
          <a:ext cx="866775"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ru-RU" sz="1100" b="1">
              <a:latin typeface="Arial" panose="020B0604020202020204" pitchFamily="34" charset="0"/>
              <a:cs typeface="Arial" panose="020B0604020202020204" pitchFamily="34" charset="0"/>
            </a:rPr>
            <a:t>Доставка</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3</xdr:col>
      <xdr:colOff>82827</xdr:colOff>
      <xdr:row>7</xdr:row>
      <xdr:rowOff>33131</xdr:rowOff>
    </xdr:from>
    <xdr:to>
      <xdr:col>7</xdr:col>
      <xdr:colOff>62390</xdr:colOff>
      <xdr:row>15</xdr:row>
      <xdr:rowOff>82825</xdr:rowOff>
    </xdr:to>
    <xdr:pic>
      <xdr:nvPicPr>
        <xdr:cNvPr id="3" name="Рисунок 2">
          <a:extLst>
            <a:ext uri="{FF2B5EF4-FFF2-40B4-BE49-F238E27FC236}">
              <a16:creationId xmlns:a16="http://schemas.microsoft.com/office/drawing/2014/main" id="{36DAFE3D-A434-4E68-A34C-4A58E2F5DD9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31305" y="1954696"/>
          <a:ext cx="509650" cy="1035325"/>
        </a:xfrm>
        <a:prstGeom prst="rect">
          <a:avLst/>
        </a:prstGeom>
      </xdr:spPr>
    </xdr:pic>
    <xdr:clientData/>
  </xdr:twoCellAnchor>
  <xdr:twoCellAnchor editAs="oneCell">
    <xdr:from>
      <xdr:col>13</xdr:col>
      <xdr:colOff>57980</xdr:colOff>
      <xdr:row>7</xdr:row>
      <xdr:rowOff>8283</xdr:rowOff>
    </xdr:from>
    <xdr:to>
      <xdr:col>17</xdr:col>
      <xdr:colOff>40118</xdr:colOff>
      <xdr:row>15</xdr:row>
      <xdr:rowOff>57979</xdr:rowOff>
    </xdr:to>
    <xdr:pic>
      <xdr:nvPicPr>
        <xdr:cNvPr id="4" name="Рисунок 3">
          <a:extLst>
            <a:ext uri="{FF2B5EF4-FFF2-40B4-BE49-F238E27FC236}">
              <a16:creationId xmlns:a16="http://schemas.microsoft.com/office/drawing/2014/main" id="{FE07F918-5296-46E6-9E36-5FC851B1E55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32893" y="1929848"/>
          <a:ext cx="520508" cy="1035327"/>
        </a:xfrm>
        <a:prstGeom prst="rect">
          <a:avLst/>
        </a:prstGeom>
      </xdr:spPr>
    </xdr:pic>
    <xdr:clientData/>
  </xdr:twoCellAnchor>
  <xdr:twoCellAnchor editAs="oneCell">
    <xdr:from>
      <xdr:col>23</xdr:col>
      <xdr:colOff>57979</xdr:colOff>
      <xdr:row>7</xdr:row>
      <xdr:rowOff>1</xdr:rowOff>
    </xdr:from>
    <xdr:to>
      <xdr:col>27</xdr:col>
      <xdr:colOff>18735</xdr:colOff>
      <xdr:row>15</xdr:row>
      <xdr:rowOff>74544</xdr:rowOff>
    </xdr:to>
    <xdr:pic>
      <xdr:nvPicPr>
        <xdr:cNvPr id="5" name="Рисунок 4">
          <a:extLst>
            <a:ext uri="{FF2B5EF4-FFF2-40B4-BE49-F238E27FC236}">
              <a16:creationId xmlns:a16="http://schemas.microsoft.com/office/drawing/2014/main" id="{61E807F8-2302-43D0-8571-8119F25E66B8}"/>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567609" y="1921566"/>
          <a:ext cx="540539" cy="1060174"/>
        </a:xfrm>
        <a:prstGeom prst="rect">
          <a:avLst/>
        </a:prstGeom>
      </xdr:spPr>
    </xdr:pic>
    <xdr:clientData/>
  </xdr:twoCellAnchor>
  <xdr:twoCellAnchor editAs="oneCell">
    <xdr:from>
      <xdr:col>33</xdr:col>
      <xdr:colOff>33132</xdr:colOff>
      <xdr:row>6</xdr:row>
      <xdr:rowOff>107674</xdr:rowOff>
    </xdr:from>
    <xdr:to>
      <xdr:col>37</xdr:col>
      <xdr:colOff>74544</xdr:colOff>
      <xdr:row>15</xdr:row>
      <xdr:rowOff>87792</xdr:rowOff>
    </xdr:to>
    <xdr:pic>
      <xdr:nvPicPr>
        <xdr:cNvPr id="6" name="Рисунок 5">
          <a:extLst>
            <a:ext uri="{FF2B5EF4-FFF2-40B4-BE49-F238E27FC236}">
              <a16:creationId xmlns:a16="http://schemas.microsoft.com/office/drawing/2014/main" id="{0CF3994F-252B-4F92-B65B-4629CDD3FCF7}"/>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718893" y="1905000"/>
          <a:ext cx="546651" cy="1089988"/>
        </a:xfrm>
        <a:prstGeom prst="rect">
          <a:avLst/>
        </a:prstGeom>
      </xdr:spPr>
    </xdr:pic>
    <xdr:clientData/>
  </xdr:twoCellAnchor>
  <xdr:twoCellAnchor editAs="oneCell">
    <xdr:from>
      <xdr:col>43</xdr:col>
      <xdr:colOff>66261</xdr:colOff>
      <xdr:row>7</xdr:row>
      <xdr:rowOff>0</xdr:rowOff>
    </xdr:from>
    <xdr:to>
      <xdr:col>47</xdr:col>
      <xdr:colOff>66261</xdr:colOff>
      <xdr:row>15</xdr:row>
      <xdr:rowOff>69078</xdr:rowOff>
    </xdr:to>
    <xdr:pic>
      <xdr:nvPicPr>
        <xdr:cNvPr id="7" name="Рисунок 6">
          <a:extLst>
            <a:ext uri="{FF2B5EF4-FFF2-40B4-BE49-F238E27FC236}">
              <a16:creationId xmlns:a16="http://schemas.microsoft.com/office/drawing/2014/main" id="{A3010F06-83E7-4DF2-868C-C62613E9B96F}"/>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853609" y="1921565"/>
          <a:ext cx="521804" cy="1054709"/>
        </a:xfrm>
        <a:prstGeom prst="rect">
          <a:avLst/>
        </a:prstGeom>
      </xdr:spPr>
    </xdr:pic>
    <xdr:clientData/>
  </xdr:twoCellAnchor>
  <xdr:twoCellAnchor editAs="oneCell">
    <xdr:from>
      <xdr:col>53</xdr:col>
      <xdr:colOff>132520</xdr:colOff>
      <xdr:row>7</xdr:row>
      <xdr:rowOff>1</xdr:rowOff>
    </xdr:from>
    <xdr:to>
      <xdr:col>56</xdr:col>
      <xdr:colOff>74543</xdr:colOff>
      <xdr:row>15</xdr:row>
      <xdr:rowOff>44069</xdr:rowOff>
    </xdr:to>
    <xdr:pic>
      <xdr:nvPicPr>
        <xdr:cNvPr id="8" name="Рисунок 7">
          <a:extLst>
            <a:ext uri="{FF2B5EF4-FFF2-40B4-BE49-F238E27FC236}">
              <a16:creationId xmlns:a16="http://schemas.microsoft.com/office/drawing/2014/main" id="{2207DEA4-9D5B-402B-AD17-61DDD5E0BDEF}"/>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038020" y="1921566"/>
          <a:ext cx="347871" cy="1029699"/>
        </a:xfrm>
        <a:prstGeom prst="rect">
          <a:avLst/>
        </a:prstGeom>
      </xdr:spPr>
    </xdr:pic>
    <xdr:clientData/>
  </xdr:twoCellAnchor>
  <xdr:twoCellAnchor editAs="oneCell">
    <xdr:from>
      <xdr:col>3</xdr:col>
      <xdr:colOff>82826</xdr:colOff>
      <xdr:row>21</xdr:row>
      <xdr:rowOff>1</xdr:rowOff>
    </xdr:from>
    <xdr:to>
      <xdr:col>7</xdr:col>
      <xdr:colOff>51646</xdr:colOff>
      <xdr:row>29</xdr:row>
      <xdr:rowOff>99391</xdr:rowOff>
    </xdr:to>
    <xdr:pic>
      <xdr:nvPicPr>
        <xdr:cNvPr id="9" name="Рисунок 8">
          <a:extLst>
            <a:ext uri="{FF2B5EF4-FFF2-40B4-BE49-F238E27FC236}">
              <a16:creationId xmlns:a16="http://schemas.microsoft.com/office/drawing/2014/main" id="{53F9A09A-26F2-4D36-9524-B1E10417411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330476" y="2933701"/>
          <a:ext cx="490624" cy="1023315"/>
        </a:xfrm>
        <a:prstGeom prst="rect">
          <a:avLst/>
        </a:prstGeom>
      </xdr:spPr>
    </xdr:pic>
    <xdr:clientData/>
  </xdr:twoCellAnchor>
  <xdr:twoCellAnchor editAs="oneCell">
    <xdr:from>
      <xdr:col>23</xdr:col>
      <xdr:colOff>91109</xdr:colOff>
      <xdr:row>20</xdr:row>
      <xdr:rowOff>24849</xdr:rowOff>
    </xdr:from>
    <xdr:to>
      <xdr:col>27</xdr:col>
      <xdr:colOff>50095</xdr:colOff>
      <xdr:row>29</xdr:row>
      <xdr:rowOff>57979</xdr:rowOff>
    </xdr:to>
    <xdr:pic>
      <xdr:nvPicPr>
        <xdr:cNvPr id="10" name="Рисунок 9">
          <a:extLst>
            <a:ext uri="{FF2B5EF4-FFF2-40B4-BE49-F238E27FC236}">
              <a16:creationId xmlns:a16="http://schemas.microsoft.com/office/drawing/2014/main" id="{136921C2-68AF-4993-93A4-14F7C6F6B9A7}"/>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2600739" y="3412436"/>
          <a:ext cx="538769" cy="1085021"/>
        </a:xfrm>
        <a:prstGeom prst="rect">
          <a:avLst/>
        </a:prstGeom>
      </xdr:spPr>
    </xdr:pic>
    <xdr:clientData/>
  </xdr:twoCellAnchor>
  <xdr:twoCellAnchor editAs="oneCell">
    <xdr:from>
      <xdr:col>32</xdr:col>
      <xdr:colOff>107675</xdr:colOff>
      <xdr:row>20</xdr:row>
      <xdr:rowOff>24848</xdr:rowOff>
    </xdr:from>
    <xdr:to>
      <xdr:col>37</xdr:col>
      <xdr:colOff>60556</xdr:colOff>
      <xdr:row>29</xdr:row>
      <xdr:rowOff>66262</xdr:rowOff>
    </xdr:to>
    <xdr:pic>
      <xdr:nvPicPr>
        <xdr:cNvPr id="11" name="Рисунок 10">
          <a:extLst>
            <a:ext uri="{FF2B5EF4-FFF2-40B4-BE49-F238E27FC236}">
              <a16:creationId xmlns:a16="http://schemas.microsoft.com/office/drawing/2014/main" id="{C290603B-567F-4D87-86C9-AA068E1FF7A6}"/>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3677479" y="3412435"/>
          <a:ext cx="574077" cy="1093305"/>
        </a:xfrm>
        <a:prstGeom prst="rect">
          <a:avLst/>
        </a:prstGeom>
      </xdr:spPr>
    </xdr:pic>
    <xdr:clientData/>
  </xdr:twoCellAnchor>
  <xdr:twoCellAnchor editAs="oneCell">
    <xdr:from>
      <xdr:col>43</xdr:col>
      <xdr:colOff>25248</xdr:colOff>
      <xdr:row>20</xdr:row>
      <xdr:rowOff>41414</xdr:rowOff>
    </xdr:from>
    <xdr:to>
      <xdr:col>47</xdr:col>
      <xdr:colOff>91108</xdr:colOff>
      <xdr:row>29</xdr:row>
      <xdr:rowOff>74543</xdr:rowOff>
    </xdr:to>
    <xdr:pic>
      <xdr:nvPicPr>
        <xdr:cNvPr id="12" name="Рисунок 11">
          <a:extLst>
            <a:ext uri="{FF2B5EF4-FFF2-40B4-BE49-F238E27FC236}">
              <a16:creationId xmlns:a16="http://schemas.microsoft.com/office/drawing/2014/main" id="{A785543A-1016-43B0-B745-D21457B993E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14422" y="3395871"/>
          <a:ext cx="587664" cy="1085020"/>
        </a:xfrm>
        <a:prstGeom prst="rect">
          <a:avLst/>
        </a:prstGeom>
      </xdr:spPr>
    </xdr:pic>
    <xdr:clientData/>
  </xdr:twoCellAnchor>
  <xdr:twoCellAnchor editAs="oneCell">
    <xdr:from>
      <xdr:col>53</xdr:col>
      <xdr:colOff>51114</xdr:colOff>
      <xdr:row>20</xdr:row>
      <xdr:rowOff>16565</xdr:rowOff>
    </xdr:from>
    <xdr:to>
      <xdr:col>57</xdr:col>
      <xdr:colOff>24848</xdr:colOff>
      <xdr:row>29</xdr:row>
      <xdr:rowOff>54325</xdr:rowOff>
    </xdr:to>
    <xdr:pic>
      <xdr:nvPicPr>
        <xdr:cNvPr id="13" name="Рисунок 12">
          <a:extLst>
            <a:ext uri="{FF2B5EF4-FFF2-40B4-BE49-F238E27FC236}">
              <a16:creationId xmlns:a16="http://schemas.microsoft.com/office/drawing/2014/main" id="{88135201-B9E4-4601-B9EC-F0731F9832A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537514" y="2835965"/>
          <a:ext cx="488912" cy="1075985"/>
        </a:xfrm>
        <a:prstGeom prst="rect">
          <a:avLst/>
        </a:prstGeom>
      </xdr:spPr>
    </xdr:pic>
    <xdr:clientData/>
  </xdr:twoCellAnchor>
  <xdr:twoCellAnchor editAs="oneCell">
    <xdr:from>
      <xdr:col>62</xdr:col>
      <xdr:colOff>106707</xdr:colOff>
      <xdr:row>19</xdr:row>
      <xdr:rowOff>107674</xdr:rowOff>
    </xdr:from>
    <xdr:to>
      <xdr:col>67</xdr:col>
      <xdr:colOff>24848</xdr:colOff>
      <xdr:row>29</xdr:row>
      <xdr:rowOff>72808</xdr:rowOff>
    </xdr:to>
    <xdr:pic>
      <xdr:nvPicPr>
        <xdr:cNvPr id="14" name="Рисунок 13">
          <a:extLst>
            <a:ext uri="{FF2B5EF4-FFF2-40B4-BE49-F238E27FC236}">
              <a16:creationId xmlns:a16="http://schemas.microsoft.com/office/drawing/2014/main" id="{966816CB-F772-4114-BDC9-CBF49F1554F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526557" y="2812774"/>
          <a:ext cx="547619" cy="1117659"/>
        </a:xfrm>
        <a:prstGeom prst="rect">
          <a:avLst/>
        </a:prstGeom>
      </xdr:spPr>
    </xdr:pic>
    <xdr:clientData/>
  </xdr:twoCellAnchor>
  <xdr:twoCellAnchor editAs="oneCell">
    <xdr:from>
      <xdr:col>1</xdr:col>
      <xdr:colOff>99392</xdr:colOff>
      <xdr:row>34</xdr:row>
      <xdr:rowOff>16566</xdr:rowOff>
    </xdr:from>
    <xdr:to>
      <xdr:col>8</xdr:col>
      <xdr:colOff>74544</xdr:colOff>
      <xdr:row>43</xdr:row>
      <xdr:rowOff>34676</xdr:rowOff>
    </xdr:to>
    <xdr:pic>
      <xdr:nvPicPr>
        <xdr:cNvPr id="15" name="Рисунок 14">
          <a:extLst>
            <a:ext uri="{FF2B5EF4-FFF2-40B4-BE49-F238E27FC236}">
              <a16:creationId xmlns:a16="http://schemas.microsoft.com/office/drawing/2014/main" id="{15620A60-692F-423E-B08E-7EF66F92CFA6}"/>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18442" y="4350441"/>
          <a:ext cx="839857" cy="1056334"/>
        </a:xfrm>
        <a:prstGeom prst="rect">
          <a:avLst/>
        </a:prstGeom>
      </xdr:spPr>
    </xdr:pic>
    <xdr:clientData/>
  </xdr:twoCellAnchor>
  <xdr:twoCellAnchor editAs="oneCell">
    <xdr:from>
      <xdr:col>12</xdr:col>
      <xdr:colOff>8282</xdr:colOff>
      <xdr:row>33</xdr:row>
      <xdr:rowOff>91109</xdr:rowOff>
    </xdr:from>
    <xdr:to>
      <xdr:col>18</xdr:col>
      <xdr:colOff>107675</xdr:colOff>
      <xdr:row>42</xdr:row>
      <xdr:rowOff>104876</xdr:rowOff>
    </xdr:to>
    <xdr:pic>
      <xdr:nvPicPr>
        <xdr:cNvPr id="16" name="Рисунок 15">
          <a:extLst>
            <a:ext uri="{FF2B5EF4-FFF2-40B4-BE49-F238E27FC236}">
              <a16:creationId xmlns:a16="http://schemas.microsoft.com/office/drawing/2014/main" id="{6719C2E3-3BF0-49DA-B07E-E144A9A7B46C}"/>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189382" y="4310684"/>
          <a:ext cx="858080" cy="1051992"/>
        </a:xfrm>
        <a:prstGeom prst="rect">
          <a:avLst/>
        </a:prstGeom>
      </xdr:spPr>
    </xdr:pic>
    <xdr:clientData/>
  </xdr:twoCellAnchor>
  <xdr:twoCellAnchor editAs="oneCell">
    <xdr:from>
      <xdr:col>23</xdr:col>
      <xdr:colOff>24847</xdr:colOff>
      <xdr:row>33</xdr:row>
      <xdr:rowOff>99392</xdr:rowOff>
    </xdr:from>
    <xdr:to>
      <xdr:col>27</xdr:col>
      <xdr:colOff>6467</xdr:colOff>
      <xdr:row>43</xdr:row>
      <xdr:rowOff>82826</xdr:rowOff>
    </xdr:to>
    <xdr:pic>
      <xdr:nvPicPr>
        <xdr:cNvPr id="17" name="Рисунок 16">
          <a:extLst>
            <a:ext uri="{FF2B5EF4-FFF2-40B4-BE49-F238E27FC236}">
              <a16:creationId xmlns:a16="http://schemas.microsoft.com/office/drawing/2014/main" id="{6446D586-B607-4C12-87EC-23C3500BCB9B}"/>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2367997" y="4318967"/>
          <a:ext cx="553120" cy="1135959"/>
        </a:xfrm>
        <a:prstGeom prst="rect">
          <a:avLst/>
        </a:prstGeom>
      </xdr:spPr>
    </xdr:pic>
    <xdr:clientData/>
  </xdr:twoCellAnchor>
  <xdr:twoCellAnchor editAs="oneCell">
    <xdr:from>
      <xdr:col>32</xdr:col>
      <xdr:colOff>24847</xdr:colOff>
      <xdr:row>35</xdr:row>
      <xdr:rowOff>74543</xdr:rowOff>
    </xdr:from>
    <xdr:to>
      <xdr:col>38</xdr:col>
      <xdr:colOff>92571</xdr:colOff>
      <xdr:row>42</xdr:row>
      <xdr:rowOff>107674</xdr:rowOff>
    </xdr:to>
    <xdr:pic>
      <xdr:nvPicPr>
        <xdr:cNvPr id="18" name="Рисунок 17">
          <a:extLst>
            <a:ext uri="{FF2B5EF4-FFF2-40B4-BE49-F238E27FC236}">
              <a16:creationId xmlns:a16="http://schemas.microsoft.com/office/drawing/2014/main" id="{2B010E8F-FA30-4054-B25A-48D3148470F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301447" y="4522718"/>
          <a:ext cx="793281" cy="842756"/>
        </a:xfrm>
        <a:prstGeom prst="rect">
          <a:avLst/>
        </a:prstGeom>
      </xdr:spPr>
    </xdr:pic>
    <xdr:clientData/>
  </xdr:twoCellAnchor>
  <xdr:twoCellAnchor editAs="oneCell">
    <xdr:from>
      <xdr:col>42</xdr:col>
      <xdr:colOff>16566</xdr:colOff>
      <xdr:row>35</xdr:row>
      <xdr:rowOff>6334</xdr:rowOff>
    </xdr:from>
    <xdr:to>
      <xdr:col>48</xdr:col>
      <xdr:colOff>70026</xdr:colOff>
      <xdr:row>43</xdr:row>
      <xdr:rowOff>49696</xdr:rowOff>
    </xdr:to>
    <xdr:pic>
      <xdr:nvPicPr>
        <xdr:cNvPr id="19" name="Рисунок 18">
          <a:extLst>
            <a:ext uri="{FF2B5EF4-FFF2-40B4-BE49-F238E27FC236}">
              <a16:creationId xmlns:a16="http://schemas.microsoft.com/office/drawing/2014/main" id="{02C1A742-77AA-426C-82A7-471910C1AD4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87957" y="5042160"/>
          <a:ext cx="807178" cy="979297"/>
        </a:xfrm>
        <a:prstGeom prst="rect">
          <a:avLst/>
        </a:prstGeom>
      </xdr:spPr>
    </xdr:pic>
    <xdr:clientData/>
  </xdr:twoCellAnchor>
  <xdr:twoCellAnchor editAs="oneCell">
    <xdr:from>
      <xdr:col>52</xdr:col>
      <xdr:colOff>63074</xdr:colOff>
      <xdr:row>35</xdr:row>
      <xdr:rowOff>24848</xdr:rowOff>
    </xdr:from>
    <xdr:to>
      <xdr:col>58</xdr:col>
      <xdr:colOff>24847</xdr:colOff>
      <xdr:row>43</xdr:row>
      <xdr:rowOff>99933</xdr:rowOff>
    </xdr:to>
    <xdr:pic>
      <xdr:nvPicPr>
        <xdr:cNvPr id="20" name="Рисунок 19">
          <a:extLst>
            <a:ext uri="{FF2B5EF4-FFF2-40B4-BE49-F238E27FC236}">
              <a16:creationId xmlns:a16="http://schemas.microsoft.com/office/drawing/2014/main" id="{9EFF0046-A091-483E-8E84-FDF87BFBD2C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852617" y="5060674"/>
          <a:ext cx="715491" cy="1011020"/>
        </a:xfrm>
        <a:prstGeom prst="rect">
          <a:avLst/>
        </a:prstGeom>
      </xdr:spPr>
    </xdr:pic>
    <xdr:clientData/>
  </xdr:twoCellAnchor>
  <xdr:twoCellAnchor editAs="oneCell">
    <xdr:from>
      <xdr:col>62</xdr:col>
      <xdr:colOff>16565</xdr:colOff>
      <xdr:row>35</xdr:row>
      <xdr:rowOff>42586</xdr:rowOff>
    </xdr:from>
    <xdr:to>
      <xdr:col>68</xdr:col>
      <xdr:colOff>73852</xdr:colOff>
      <xdr:row>42</xdr:row>
      <xdr:rowOff>91109</xdr:rowOff>
    </xdr:to>
    <xdr:pic>
      <xdr:nvPicPr>
        <xdr:cNvPr id="21" name="Рисунок 20">
          <a:extLst>
            <a:ext uri="{FF2B5EF4-FFF2-40B4-BE49-F238E27FC236}">
              <a16:creationId xmlns:a16="http://schemas.microsoft.com/office/drawing/2014/main" id="{4FA885C1-73E1-4CB4-AF61-C124E7274C1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6436415" y="4490761"/>
          <a:ext cx="799408" cy="858148"/>
        </a:xfrm>
        <a:prstGeom prst="rect">
          <a:avLst/>
        </a:prstGeom>
      </xdr:spPr>
    </xdr:pic>
    <xdr:clientData/>
  </xdr:twoCellAnchor>
  <xdr:twoCellAnchor editAs="oneCell">
    <xdr:from>
      <xdr:col>2</xdr:col>
      <xdr:colOff>80284</xdr:colOff>
      <xdr:row>47</xdr:row>
      <xdr:rowOff>41413</xdr:rowOff>
    </xdr:from>
    <xdr:to>
      <xdr:col>7</xdr:col>
      <xdr:colOff>109877</xdr:colOff>
      <xdr:row>58</xdr:row>
      <xdr:rowOff>2</xdr:rowOff>
    </xdr:to>
    <xdr:pic>
      <xdr:nvPicPr>
        <xdr:cNvPr id="22" name="Рисунок 21">
          <a:extLst>
            <a:ext uri="{FF2B5EF4-FFF2-40B4-BE49-F238E27FC236}">
              <a16:creationId xmlns:a16="http://schemas.microsoft.com/office/drawing/2014/main" id="{745BCB3E-DC14-434E-8AC2-F21EF8C539D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13634" y="5775463"/>
          <a:ext cx="665697" cy="1215888"/>
        </a:xfrm>
        <a:prstGeom prst="rect">
          <a:avLst/>
        </a:prstGeom>
      </xdr:spPr>
    </xdr:pic>
    <xdr:clientData/>
  </xdr:twoCellAnchor>
  <xdr:twoCellAnchor editAs="oneCell">
    <xdr:from>
      <xdr:col>13</xdr:col>
      <xdr:colOff>82158</xdr:colOff>
      <xdr:row>47</xdr:row>
      <xdr:rowOff>24849</xdr:rowOff>
    </xdr:from>
    <xdr:to>
      <xdr:col>17</xdr:col>
      <xdr:colOff>91108</xdr:colOff>
      <xdr:row>57</xdr:row>
      <xdr:rowOff>108917</xdr:rowOff>
    </xdr:to>
    <xdr:pic>
      <xdr:nvPicPr>
        <xdr:cNvPr id="23" name="Рисунок 22">
          <a:extLst>
            <a:ext uri="{FF2B5EF4-FFF2-40B4-BE49-F238E27FC236}">
              <a16:creationId xmlns:a16="http://schemas.microsoft.com/office/drawing/2014/main" id="{B089448E-1245-4733-AFA3-33F12E628E84}"/>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457071" y="6361045"/>
          <a:ext cx="547320" cy="1243633"/>
        </a:xfrm>
        <a:prstGeom prst="rect">
          <a:avLst/>
        </a:prstGeom>
      </xdr:spPr>
    </xdr:pic>
    <xdr:clientData/>
  </xdr:twoCellAnchor>
  <xdr:twoCellAnchor editAs="oneCell">
    <xdr:from>
      <xdr:col>23</xdr:col>
      <xdr:colOff>27610</xdr:colOff>
      <xdr:row>47</xdr:row>
      <xdr:rowOff>91110</xdr:rowOff>
    </xdr:from>
    <xdr:to>
      <xdr:col>27</xdr:col>
      <xdr:colOff>107674</xdr:colOff>
      <xdr:row>57</xdr:row>
      <xdr:rowOff>62711</xdr:rowOff>
    </xdr:to>
    <xdr:pic>
      <xdr:nvPicPr>
        <xdr:cNvPr id="24" name="Рисунок 23">
          <a:extLst>
            <a:ext uri="{FF2B5EF4-FFF2-40B4-BE49-F238E27FC236}">
              <a16:creationId xmlns:a16="http://schemas.microsoft.com/office/drawing/2014/main" id="{F5B0D5FF-1E1C-4341-91F1-78CD463E97A3}"/>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37240" y="6427306"/>
          <a:ext cx="659847" cy="1131166"/>
        </a:xfrm>
        <a:prstGeom prst="rect">
          <a:avLst/>
        </a:prstGeom>
      </xdr:spPr>
    </xdr:pic>
    <xdr:clientData/>
  </xdr:twoCellAnchor>
  <xdr:twoCellAnchor editAs="oneCell">
    <xdr:from>
      <xdr:col>33</xdr:col>
      <xdr:colOff>8283</xdr:colOff>
      <xdr:row>47</xdr:row>
      <xdr:rowOff>49696</xdr:rowOff>
    </xdr:from>
    <xdr:to>
      <xdr:col>37</xdr:col>
      <xdr:colOff>57978</xdr:colOff>
      <xdr:row>57</xdr:row>
      <xdr:rowOff>76541</xdr:rowOff>
    </xdr:to>
    <xdr:pic>
      <xdr:nvPicPr>
        <xdr:cNvPr id="25" name="Рисунок 24">
          <a:extLst>
            <a:ext uri="{FF2B5EF4-FFF2-40B4-BE49-F238E27FC236}">
              <a16:creationId xmlns:a16="http://schemas.microsoft.com/office/drawing/2014/main" id="{5AD53EF7-D16A-40BF-B8EA-969200E03255}"/>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3399183" y="5783746"/>
          <a:ext cx="548308" cy="1169844"/>
        </a:xfrm>
        <a:prstGeom prst="rect">
          <a:avLst/>
        </a:prstGeom>
      </xdr:spPr>
    </xdr:pic>
    <xdr:clientData/>
  </xdr:twoCellAnchor>
  <xdr:twoCellAnchor editAs="oneCell">
    <xdr:from>
      <xdr:col>43</xdr:col>
      <xdr:colOff>61521</xdr:colOff>
      <xdr:row>48</xdr:row>
      <xdr:rowOff>8284</xdr:rowOff>
    </xdr:from>
    <xdr:to>
      <xdr:col>47</xdr:col>
      <xdr:colOff>1032</xdr:colOff>
      <xdr:row>57</xdr:row>
      <xdr:rowOff>74544</xdr:rowOff>
    </xdr:to>
    <xdr:pic>
      <xdr:nvPicPr>
        <xdr:cNvPr id="26" name="Рисунок 25">
          <a:extLst>
            <a:ext uri="{FF2B5EF4-FFF2-40B4-BE49-F238E27FC236}">
              <a16:creationId xmlns:a16="http://schemas.microsoft.com/office/drawing/2014/main" id="{6C64D5BB-2C88-4A40-BF67-65E0F81F5853}"/>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00171" y="5856634"/>
          <a:ext cx="454689" cy="1094960"/>
        </a:xfrm>
        <a:prstGeom prst="rect">
          <a:avLst/>
        </a:prstGeom>
      </xdr:spPr>
    </xdr:pic>
    <xdr:clientData/>
  </xdr:twoCellAnchor>
  <xdr:twoCellAnchor editAs="oneCell">
    <xdr:from>
      <xdr:col>52</xdr:col>
      <xdr:colOff>74542</xdr:colOff>
      <xdr:row>47</xdr:row>
      <xdr:rowOff>107041</xdr:rowOff>
    </xdr:from>
    <xdr:to>
      <xdr:col>58</xdr:col>
      <xdr:colOff>33130</xdr:colOff>
      <xdr:row>57</xdr:row>
      <xdr:rowOff>100216</xdr:rowOff>
    </xdr:to>
    <xdr:pic>
      <xdr:nvPicPr>
        <xdr:cNvPr id="27" name="Рисунок 26">
          <a:extLst>
            <a:ext uri="{FF2B5EF4-FFF2-40B4-BE49-F238E27FC236}">
              <a16:creationId xmlns:a16="http://schemas.microsoft.com/office/drawing/2014/main" id="{3C74FB93-5C14-4F18-AF37-F95A1E596FFD}"/>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446642" y="5841091"/>
          <a:ext cx="702367" cy="1136174"/>
        </a:xfrm>
        <a:prstGeom prst="rect">
          <a:avLst/>
        </a:prstGeom>
      </xdr:spPr>
    </xdr:pic>
    <xdr:clientData/>
  </xdr:twoCellAnchor>
  <xdr:twoCellAnchor editAs="oneCell">
    <xdr:from>
      <xdr:col>63</xdr:col>
      <xdr:colOff>86397</xdr:colOff>
      <xdr:row>48</xdr:row>
      <xdr:rowOff>0</xdr:rowOff>
    </xdr:from>
    <xdr:to>
      <xdr:col>66</xdr:col>
      <xdr:colOff>102583</xdr:colOff>
      <xdr:row>57</xdr:row>
      <xdr:rowOff>107675</xdr:rowOff>
    </xdr:to>
    <xdr:pic>
      <xdr:nvPicPr>
        <xdr:cNvPr id="28" name="Рисунок 27">
          <a:extLst>
            <a:ext uri="{FF2B5EF4-FFF2-40B4-BE49-F238E27FC236}">
              <a16:creationId xmlns:a16="http://schemas.microsoft.com/office/drawing/2014/main" id="{08877C76-1207-4F1D-A0A1-937AF9D34A9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620547" y="5848350"/>
          <a:ext cx="415408" cy="1136375"/>
        </a:xfrm>
        <a:prstGeom prst="rect">
          <a:avLst/>
        </a:prstGeom>
      </xdr:spPr>
    </xdr:pic>
    <xdr:clientData/>
  </xdr:twoCellAnchor>
  <xdr:twoCellAnchor editAs="oneCell">
    <xdr:from>
      <xdr:col>1</xdr:col>
      <xdr:colOff>49696</xdr:colOff>
      <xdr:row>63</xdr:row>
      <xdr:rowOff>8282</xdr:rowOff>
    </xdr:from>
    <xdr:to>
      <xdr:col>9</xdr:col>
      <xdr:colOff>21353</xdr:colOff>
      <xdr:row>70</xdr:row>
      <xdr:rowOff>0</xdr:rowOff>
    </xdr:to>
    <xdr:pic>
      <xdr:nvPicPr>
        <xdr:cNvPr id="29" name="Рисунок 28">
          <a:extLst>
            <a:ext uri="{FF2B5EF4-FFF2-40B4-BE49-F238E27FC236}">
              <a16:creationId xmlns:a16="http://schemas.microsoft.com/office/drawing/2014/main" id="{5282EE40-2ED5-43BA-B37C-A21E1C525D5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68746" y="7475882"/>
          <a:ext cx="952318" cy="790575"/>
        </a:xfrm>
        <a:prstGeom prst="rect">
          <a:avLst/>
        </a:prstGeom>
      </xdr:spPr>
    </xdr:pic>
    <xdr:clientData/>
  </xdr:twoCellAnchor>
  <xdr:twoCellAnchor editAs="oneCell">
    <xdr:from>
      <xdr:col>11</xdr:col>
      <xdr:colOff>82827</xdr:colOff>
      <xdr:row>63</xdr:row>
      <xdr:rowOff>0</xdr:rowOff>
    </xdr:from>
    <xdr:to>
      <xdr:col>19</xdr:col>
      <xdr:colOff>41413</xdr:colOff>
      <xdr:row>69</xdr:row>
      <xdr:rowOff>103690</xdr:rowOff>
    </xdr:to>
    <xdr:pic>
      <xdr:nvPicPr>
        <xdr:cNvPr id="30" name="Рисунок 29">
          <a:extLst>
            <a:ext uri="{FF2B5EF4-FFF2-40B4-BE49-F238E27FC236}">
              <a16:creationId xmlns:a16="http://schemas.microsoft.com/office/drawing/2014/main" id="{52296424-F719-4E54-81A9-7C7EEDD5D64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49627" y="7467600"/>
          <a:ext cx="945873" cy="789490"/>
        </a:xfrm>
        <a:prstGeom prst="rect">
          <a:avLst/>
        </a:prstGeom>
      </xdr:spPr>
    </xdr:pic>
    <xdr:clientData/>
  </xdr:twoCellAnchor>
  <xdr:twoCellAnchor editAs="oneCell">
    <xdr:from>
      <xdr:col>21</xdr:col>
      <xdr:colOff>24848</xdr:colOff>
      <xdr:row>62</xdr:row>
      <xdr:rowOff>34845</xdr:rowOff>
    </xdr:from>
    <xdr:to>
      <xdr:col>28</xdr:col>
      <xdr:colOff>83265</xdr:colOff>
      <xdr:row>69</xdr:row>
      <xdr:rowOff>82827</xdr:rowOff>
    </xdr:to>
    <xdr:pic>
      <xdr:nvPicPr>
        <xdr:cNvPr id="31" name="Рисунок 30">
          <a:extLst>
            <a:ext uri="{FF2B5EF4-FFF2-40B4-BE49-F238E27FC236}">
              <a16:creationId xmlns:a16="http://schemas.microsoft.com/office/drawing/2014/main" id="{CEBF6889-F04E-4977-B360-A48FE0906A49}"/>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9398" y="7388145"/>
          <a:ext cx="972818" cy="848082"/>
        </a:xfrm>
        <a:prstGeom prst="rect">
          <a:avLst/>
        </a:prstGeom>
      </xdr:spPr>
    </xdr:pic>
    <xdr:clientData/>
  </xdr:twoCellAnchor>
  <xdr:twoCellAnchor editAs="oneCell">
    <xdr:from>
      <xdr:col>31</xdr:col>
      <xdr:colOff>66260</xdr:colOff>
      <xdr:row>63</xdr:row>
      <xdr:rowOff>66260</xdr:rowOff>
    </xdr:from>
    <xdr:to>
      <xdr:col>39</xdr:col>
      <xdr:colOff>66261</xdr:colOff>
      <xdr:row>71</xdr:row>
      <xdr:rowOff>83964</xdr:rowOff>
    </xdr:to>
    <xdr:pic>
      <xdr:nvPicPr>
        <xdr:cNvPr id="32" name="Рисунок 31">
          <a:extLst>
            <a:ext uri="{FF2B5EF4-FFF2-40B4-BE49-F238E27FC236}">
              <a16:creationId xmlns:a16="http://schemas.microsoft.com/office/drawing/2014/main" id="{3EE0C567-427E-4DDB-AD3C-8A5696FBD7F6}"/>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228560" y="7533860"/>
          <a:ext cx="955814" cy="808279"/>
        </a:xfrm>
        <a:prstGeom prst="rect">
          <a:avLst/>
        </a:prstGeom>
      </xdr:spPr>
    </xdr:pic>
    <xdr:clientData/>
  </xdr:twoCellAnchor>
  <xdr:twoCellAnchor editAs="oneCell">
    <xdr:from>
      <xdr:col>41</xdr:col>
      <xdr:colOff>74544</xdr:colOff>
      <xdr:row>63</xdr:row>
      <xdr:rowOff>57978</xdr:rowOff>
    </xdr:from>
    <xdr:to>
      <xdr:col>49</xdr:col>
      <xdr:colOff>16566</xdr:colOff>
      <xdr:row>71</xdr:row>
      <xdr:rowOff>75997</xdr:rowOff>
    </xdr:to>
    <xdr:pic>
      <xdr:nvPicPr>
        <xdr:cNvPr id="33" name="Рисунок 32">
          <a:extLst>
            <a:ext uri="{FF2B5EF4-FFF2-40B4-BE49-F238E27FC236}">
              <a16:creationId xmlns:a16="http://schemas.microsoft.com/office/drawing/2014/main" id="{643E1020-E93D-47F4-AE48-A1FAE6CC1D4E}"/>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284594" y="7525578"/>
          <a:ext cx="914400" cy="808594"/>
        </a:xfrm>
        <a:prstGeom prst="rect">
          <a:avLst/>
        </a:prstGeom>
      </xdr:spPr>
    </xdr:pic>
    <xdr:clientData/>
  </xdr:twoCellAnchor>
  <xdr:twoCellAnchor editAs="oneCell">
    <xdr:from>
      <xdr:col>61</xdr:col>
      <xdr:colOff>91108</xdr:colOff>
      <xdr:row>64</xdr:row>
      <xdr:rowOff>24848</xdr:rowOff>
    </xdr:from>
    <xdr:to>
      <xdr:col>68</xdr:col>
      <xdr:colOff>107673</xdr:colOff>
      <xdr:row>71</xdr:row>
      <xdr:rowOff>95190</xdr:rowOff>
    </xdr:to>
    <xdr:pic>
      <xdr:nvPicPr>
        <xdr:cNvPr id="34" name="Рисунок 33">
          <a:extLst>
            <a:ext uri="{FF2B5EF4-FFF2-40B4-BE49-F238E27FC236}">
              <a16:creationId xmlns:a16="http://schemas.microsoft.com/office/drawing/2014/main" id="{71175FA7-5D76-493D-9482-61DA8C70B6B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6396658" y="7606748"/>
          <a:ext cx="872987" cy="746617"/>
        </a:xfrm>
        <a:prstGeom prst="rect">
          <a:avLst/>
        </a:prstGeom>
      </xdr:spPr>
    </xdr:pic>
    <xdr:clientData/>
  </xdr:twoCellAnchor>
  <xdr:twoCellAnchor editAs="oneCell">
    <xdr:from>
      <xdr:col>2</xdr:col>
      <xdr:colOff>8283</xdr:colOff>
      <xdr:row>76</xdr:row>
      <xdr:rowOff>57979</xdr:rowOff>
    </xdr:from>
    <xdr:to>
      <xdr:col>9</xdr:col>
      <xdr:colOff>43023</xdr:colOff>
      <xdr:row>84</xdr:row>
      <xdr:rowOff>8284</xdr:rowOff>
    </xdr:to>
    <xdr:pic>
      <xdr:nvPicPr>
        <xdr:cNvPr id="35" name="Рисунок 34">
          <a:extLst>
            <a:ext uri="{FF2B5EF4-FFF2-40B4-BE49-F238E27FC236}">
              <a16:creationId xmlns:a16="http://schemas.microsoft.com/office/drawing/2014/main" id="{35E37CFA-D452-4853-9CFB-4E7DAB27C309}"/>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41633" y="8792404"/>
          <a:ext cx="901101" cy="864705"/>
        </a:xfrm>
        <a:prstGeom prst="rect">
          <a:avLst/>
        </a:prstGeom>
      </xdr:spPr>
    </xdr:pic>
    <xdr:clientData/>
  </xdr:twoCellAnchor>
  <xdr:twoCellAnchor editAs="oneCell">
    <xdr:from>
      <xdr:col>11</xdr:col>
      <xdr:colOff>98320</xdr:colOff>
      <xdr:row>76</xdr:row>
      <xdr:rowOff>16566</xdr:rowOff>
    </xdr:from>
    <xdr:to>
      <xdr:col>19</xdr:col>
      <xdr:colOff>16565</xdr:colOff>
      <xdr:row>83</xdr:row>
      <xdr:rowOff>90277</xdr:rowOff>
    </xdr:to>
    <xdr:pic>
      <xdr:nvPicPr>
        <xdr:cNvPr id="36" name="Рисунок 35">
          <a:extLst>
            <a:ext uri="{FF2B5EF4-FFF2-40B4-BE49-F238E27FC236}">
              <a16:creationId xmlns:a16="http://schemas.microsoft.com/office/drawing/2014/main" id="{7475F197-03AA-42DB-8ED3-D189A4FA291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65120" y="8750991"/>
          <a:ext cx="907189" cy="873811"/>
        </a:xfrm>
        <a:prstGeom prst="rect">
          <a:avLst/>
        </a:prstGeom>
      </xdr:spPr>
    </xdr:pic>
    <xdr:clientData/>
  </xdr:twoCellAnchor>
  <xdr:twoCellAnchor editAs="oneCell">
    <xdr:from>
      <xdr:col>21</xdr:col>
      <xdr:colOff>49696</xdr:colOff>
      <xdr:row>76</xdr:row>
      <xdr:rowOff>56127</xdr:rowOff>
    </xdr:from>
    <xdr:to>
      <xdr:col>28</xdr:col>
      <xdr:colOff>107673</xdr:colOff>
      <xdr:row>83</xdr:row>
      <xdr:rowOff>69084</xdr:rowOff>
    </xdr:to>
    <xdr:pic>
      <xdr:nvPicPr>
        <xdr:cNvPr id="37" name="Рисунок 36">
          <a:extLst>
            <a:ext uri="{FF2B5EF4-FFF2-40B4-BE49-F238E27FC236}">
              <a16:creationId xmlns:a16="http://schemas.microsoft.com/office/drawing/2014/main" id="{33175A27-92CF-4CFC-BC2D-299BE28F7373}"/>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64246" y="8790552"/>
          <a:ext cx="972378" cy="813057"/>
        </a:xfrm>
        <a:prstGeom prst="rect">
          <a:avLst/>
        </a:prstGeom>
      </xdr:spPr>
    </xdr:pic>
    <xdr:clientData/>
  </xdr:twoCellAnchor>
  <xdr:twoCellAnchor editAs="oneCell">
    <xdr:from>
      <xdr:col>31</xdr:col>
      <xdr:colOff>83504</xdr:colOff>
      <xdr:row>76</xdr:row>
      <xdr:rowOff>99392</xdr:rowOff>
    </xdr:from>
    <xdr:to>
      <xdr:col>39</xdr:col>
      <xdr:colOff>24849</xdr:colOff>
      <xdr:row>84</xdr:row>
      <xdr:rowOff>74748</xdr:rowOff>
    </xdr:to>
    <xdr:pic>
      <xdr:nvPicPr>
        <xdr:cNvPr id="38" name="Рисунок 37">
          <a:extLst>
            <a:ext uri="{FF2B5EF4-FFF2-40B4-BE49-F238E27FC236}">
              <a16:creationId xmlns:a16="http://schemas.microsoft.com/office/drawing/2014/main" id="{D19A10FF-0DE8-45C8-AD88-DCE040035C2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245804" y="8833817"/>
          <a:ext cx="897158" cy="889756"/>
        </a:xfrm>
        <a:prstGeom prst="rect">
          <a:avLst/>
        </a:prstGeom>
      </xdr:spPr>
    </xdr:pic>
    <xdr:clientData/>
  </xdr:twoCellAnchor>
  <xdr:twoCellAnchor editAs="oneCell">
    <xdr:from>
      <xdr:col>42</xdr:col>
      <xdr:colOff>8284</xdr:colOff>
      <xdr:row>76</xdr:row>
      <xdr:rowOff>30707</xdr:rowOff>
    </xdr:from>
    <xdr:to>
      <xdr:col>49</xdr:col>
      <xdr:colOff>7756</xdr:colOff>
      <xdr:row>84</xdr:row>
      <xdr:rowOff>99393</xdr:rowOff>
    </xdr:to>
    <xdr:pic>
      <xdr:nvPicPr>
        <xdr:cNvPr id="39" name="Рисунок 38">
          <a:extLst>
            <a:ext uri="{FF2B5EF4-FFF2-40B4-BE49-F238E27FC236}">
              <a16:creationId xmlns:a16="http://schemas.microsoft.com/office/drawing/2014/main" id="{FF2F283A-0D7D-456E-A817-D24F6D112DFB}"/>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332634" y="8765132"/>
          <a:ext cx="857550" cy="983086"/>
        </a:xfrm>
        <a:prstGeom prst="rect">
          <a:avLst/>
        </a:prstGeom>
      </xdr:spPr>
    </xdr:pic>
    <xdr:clientData/>
  </xdr:twoCellAnchor>
  <xdr:twoCellAnchor editAs="oneCell">
    <xdr:from>
      <xdr:col>51</xdr:col>
      <xdr:colOff>74544</xdr:colOff>
      <xdr:row>77</xdr:row>
      <xdr:rowOff>0</xdr:rowOff>
    </xdr:from>
    <xdr:to>
      <xdr:col>58</xdr:col>
      <xdr:colOff>99392</xdr:colOff>
      <xdr:row>84</xdr:row>
      <xdr:rowOff>73791</xdr:rowOff>
    </xdr:to>
    <xdr:pic>
      <xdr:nvPicPr>
        <xdr:cNvPr id="40" name="Рисунок 39">
          <a:extLst>
            <a:ext uri="{FF2B5EF4-FFF2-40B4-BE49-F238E27FC236}">
              <a16:creationId xmlns:a16="http://schemas.microsoft.com/office/drawing/2014/main" id="{3FB2BF56-BB11-4F97-9521-0EB54937DD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32344" y="8848725"/>
          <a:ext cx="881270" cy="873890"/>
        </a:xfrm>
        <a:prstGeom prst="rect">
          <a:avLst/>
        </a:prstGeom>
      </xdr:spPr>
    </xdr:pic>
    <xdr:clientData/>
  </xdr:twoCellAnchor>
  <xdr:twoCellAnchor editAs="oneCell">
    <xdr:from>
      <xdr:col>61</xdr:col>
      <xdr:colOff>57979</xdr:colOff>
      <xdr:row>77</xdr:row>
      <xdr:rowOff>33131</xdr:rowOff>
    </xdr:from>
    <xdr:to>
      <xdr:col>68</xdr:col>
      <xdr:colOff>91109</xdr:colOff>
      <xdr:row>84</xdr:row>
      <xdr:rowOff>93857</xdr:rowOff>
    </xdr:to>
    <xdr:pic>
      <xdr:nvPicPr>
        <xdr:cNvPr id="41" name="Рисунок 40">
          <a:extLst>
            <a:ext uri="{FF2B5EF4-FFF2-40B4-BE49-F238E27FC236}">
              <a16:creationId xmlns:a16="http://schemas.microsoft.com/office/drawing/2014/main" id="{A6D694A0-84AD-4D36-B279-45792B295EE9}"/>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363529" y="8881856"/>
          <a:ext cx="889552" cy="860825"/>
        </a:xfrm>
        <a:prstGeom prst="rect">
          <a:avLst/>
        </a:prstGeom>
      </xdr:spPr>
    </xdr:pic>
    <xdr:clientData/>
  </xdr:twoCellAnchor>
  <xdr:twoCellAnchor editAs="oneCell">
    <xdr:from>
      <xdr:col>3</xdr:col>
      <xdr:colOff>29347</xdr:colOff>
      <xdr:row>90</xdr:row>
      <xdr:rowOff>8281</xdr:rowOff>
    </xdr:from>
    <xdr:to>
      <xdr:col>7</xdr:col>
      <xdr:colOff>57980</xdr:colOff>
      <xdr:row>98</xdr:row>
      <xdr:rowOff>89580</xdr:rowOff>
    </xdr:to>
    <xdr:pic>
      <xdr:nvPicPr>
        <xdr:cNvPr id="42" name="Рисунок 41">
          <a:extLst>
            <a:ext uri="{FF2B5EF4-FFF2-40B4-BE49-F238E27FC236}">
              <a16:creationId xmlns:a16="http://schemas.microsoft.com/office/drawing/2014/main" id="{4E6492C6-4A81-443E-BEE0-91A3BC912BAE}"/>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77825" y="10908194"/>
          <a:ext cx="558720" cy="1008951"/>
        </a:xfrm>
        <a:prstGeom prst="rect">
          <a:avLst/>
        </a:prstGeom>
      </xdr:spPr>
    </xdr:pic>
    <xdr:clientData/>
  </xdr:twoCellAnchor>
  <xdr:twoCellAnchor editAs="oneCell">
    <xdr:from>
      <xdr:col>13</xdr:col>
      <xdr:colOff>17302</xdr:colOff>
      <xdr:row>89</xdr:row>
      <xdr:rowOff>115957</xdr:rowOff>
    </xdr:from>
    <xdr:to>
      <xdr:col>16</xdr:col>
      <xdr:colOff>82827</xdr:colOff>
      <xdr:row>98</xdr:row>
      <xdr:rowOff>112722</xdr:rowOff>
    </xdr:to>
    <xdr:pic>
      <xdr:nvPicPr>
        <xdr:cNvPr id="43" name="Рисунок 42">
          <a:extLst>
            <a:ext uri="{FF2B5EF4-FFF2-40B4-BE49-F238E27FC236}">
              <a16:creationId xmlns:a16="http://schemas.microsoft.com/office/drawing/2014/main" id="{638D729A-A6C6-4761-8DC2-3E32D794F134}"/>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312702" y="10250557"/>
          <a:ext cx="481312" cy="1036646"/>
        </a:xfrm>
        <a:prstGeom prst="rect">
          <a:avLst/>
        </a:prstGeom>
      </xdr:spPr>
    </xdr:pic>
    <xdr:clientData/>
  </xdr:twoCellAnchor>
  <xdr:twoCellAnchor editAs="oneCell">
    <xdr:from>
      <xdr:col>23</xdr:col>
      <xdr:colOff>69548</xdr:colOff>
      <xdr:row>89</xdr:row>
      <xdr:rowOff>107674</xdr:rowOff>
    </xdr:from>
    <xdr:to>
      <xdr:col>25</xdr:col>
      <xdr:colOff>161790</xdr:colOff>
      <xdr:row>99</xdr:row>
      <xdr:rowOff>0</xdr:rowOff>
    </xdr:to>
    <xdr:pic>
      <xdr:nvPicPr>
        <xdr:cNvPr id="44" name="Рисунок 43">
          <a:extLst>
            <a:ext uri="{FF2B5EF4-FFF2-40B4-BE49-F238E27FC236}">
              <a16:creationId xmlns:a16="http://schemas.microsoft.com/office/drawing/2014/main" id="{110D7F12-4157-49E7-B4C4-499CCD05F4D4}"/>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412698" y="10242274"/>
          <a:ext cx="344033" cy="1048164"/>
        </a:xfrm>
        <a:prstGeom prst="rect">
          <a:avLst/>
        </a:prstGeom>
      </xdr:spPr>
    </xdr:pic>
    <xdr:clientData/>
  </xdr:twoCellAnchor>
  <xdr:twoCellAnchor editAs="oneCell">
    <xdr:from>
      <xdr:col>32</xdr:col>
      <xdr:colOff>74544</xdr:colOff>
      <xdr:row>90</xdr:row>
      <xdr:rowOff>35512</xdr:rowOff>
    </xdr:from>
    <xdr:to>
      <xdr:col>37</xdr:col>
      <xdr:colOff>91075</xdr:colOff>
      <xdr:row>99</xdr:row>
      <xdr:rowOff>8282</xdr:rowOff>
    </xdr:to>
    <xdr:pic>
      <xdr:nvPicPr>
        <xdr:cNvPr id="45" name="Рисунок 44">
          <a:extLst>
            <a:ext uri="{FF2B5EF4-FFF2-40B4-BE49-F238E27FC236}">
              <a16:creationId xmlns:a16="http://schemas.microsoft.com/office/drawing/2014/main" id="{52C82440-7661-41BF-B294-3AC5D28EB7C3}"/>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644348" y="10935425"/>
          <a:ext cx="637727" cy="1016379"/>
        </a:xfrm>
        <a:prstGeom prst="rect">
          <a:avLst/>
        </a:prstGeom>
      </xdr:spPr>
    </xdr:pic>
    <xdr:clientData/>
  </xdr:twoCellAnchor>
  <xdr:twoCellAnchor editAs="oneCell">
    <xdr:from>
      <xdr:col>41</xdr:col>
      <xdr:colOff>33130</xdr:colOff>
      <xdr:row>90</xdr:row>
      <xdr:rowOff>113476</xdr:rowOff>
    </xdr:from>
    <xdr:to>
      <xdr:col>49</xdr:col>
      <xdr:colOff>33130</xdr:colOff>
      <xdr:row>98</xdr:row>
      <xdr:rowOff>51741</xdr:rowOff>
    </xdr:to>
    <xdr:pic>
      <xdr:nvPicPr>
        <xdr:cNvPr id="46" name="Рисунок 45">
          <a:extLst>
            <a:ext uri="{FF2B5EF4-FFF2-40B4-BE49-F238E27FC236}">
              <a16:creationId xmlns:a16="http://schemas.microsoft.com/office/drawing/2014/main" id="{63832B37-3E51-44D6-8300-051874C2DC8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243180" y="10371901"/>
          <a:ext cx="972378" cy="863018"/>
        </a:xfrm>
        <a:prstGeom prst="rect">
          <a:avLst/>
        </a:prstGeom>
      </xdr:spPr>
    </xdr:pic>
    <xdr:clientData/>
  </xdr:twoCellAnchor>
  <xdr:twoCellAnchor editAs="oneCell">
    <xdr:from>
      <xdr:col>51</xdr:col>
      <xdr:colOff>49696</xdr:colOff>
      <xdr:row>91</xdr:row>
      <xdr:rowOff>9053</xdr:rowOff>
    </xdr:from>
    <xdr:to>
      <xdr:col>59</xdr:col>
      <xdr:colOff>33132</xdr:colOff>
      <xdr:row>98</xdr:row>
      <xdr:rowOff>48723</xdr:rowOff>
    </xdr:to>
    <xdr:pic>
      <xdr:nvPicPr>
        <xdr:cNvPr id="47" name="Рисунок 46">
          <a:extLst>
            <a:ext uri="{FF2B5EF4-FFF2-40B4-BE49-F238E27FC236}">
              <a16:creationId xmlns:a16="http://schemas.microsoft.com/office/drawing/2014/main" id="{76BC7DF4-7FA6-4C93-A415-603D95BB85B8}"/>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307496" y="10391303"/>
          <a:ext cx="955814" cy="848880"/>
        </a:xfrm>
        <a:prstGeom prst="rect">
          <a:avLst/>
        </a:prstGeom>
      </xdr:spPr>
    </xdr:pic>
    <xdr:clientData/>
  </xdr:twoCellAnchor>
  <xdr:twoCellAnchor editAs="oneCell">
    <xdr:from>
      <xdr:col>61</xdr:col>
      <xdr:colOff>82825</xdr:colOff>
      <xdr:row>91</xdr:row>
      <xdr:rowOff>1</xdr:rowOff>
    </xdr:from>
    <xdr:to>
      <xdr:col>69</xdr:col>
      <xdr:colOff>21105</xdr:colOff>
      <xdr:row>98</xdr:row>
      <xdr:rowOff>1</xdr:rowOff>
    </xdr:to>
    <xdr:pic>
      <xdr:nvPicPr>
        <xdr:cNvPr id="48" name="Рисунок 47">
          <a:extLst>
            <a:ext uri="{FF2B5EF4-FFF2-40B4-BE49-F238E27FC236}">
              <a16:creationId xmlns:a16="http://schemas.microsoft.com/office/drawing/2014/main" id="{19ACAE6C-7C19-43C8-964A-E024D1EC66A9}"/>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388375" y="10382251"/>
          <a:ext cx="910659" cy="809210"/>
        </a:xfrm>
        <a:prstGeom prst="rect">
          <a:avLst/>
        </a:prstGeom>
      </xdr:spPr>
    </xdr:pic>
    <xdr:clientData/>
  </xdr:twoCellAnchor>
  <xdr:twoCellAnchor editAs="oneCell">
    <xdr:from>
      <xdr:col>51</xdr:col>
      <xdr:colOff>57979</xdr:colOff>
      <xdr:row>63</xdr:row>
      <xdr:rowOff>82825</xdr:rowOff>
    </xdr:from>
    <xdr:to>
      <xdr:col>59</xdr:col>
      <xdr:colOff>41412</xdr:colOff>
      <xdr:row>71</xdr:row>
      <xdr:rowOff>44091</xdr:rowOff>
    </xdr:to>
    <xdr:pic>
      <xdr:nvPicPr>
        <xdr:cNvPr id="49" name="Рисунок 48">
          <a:extLst>
            <a:ext uri="{FF2B5EF4-FFF2-40B4-BE49-F238E27FC236}">
              <a16:creationId xmlns:a16="http://schemas.microsoft.com/office/drawing/2014/main" id="{8721B766-C04D-44C5-8ABA-AD32B0CC870E}"/>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315779" y="7550425"/>
          <a:ext cx="955811" cy="751841"/>
        </a:xfrm>
        <a:prstGeom prst="rect">
          <a:avLst/>
        </a:prstGeom>
      </xdr:spPr>
    </xdr:pic>
    <xdr:clientData/>
  </xdr:twoCellAnchor>
  <xdr:twoCellAnchor editAs="oneCell">
    <xdr:from>
      <xdr:col>11</xdr:col>
      <xdr:colOff>49698</xdr:colOff>
      <xdr:row>21</xdr:row>
      <xdr:rowOff>91109</xdr:rowOff>
    </xdr:from>
    <xdr:to>
      <xdr:col>19</xdr:col>
      <xdr:colOff>61616</xdr:colOff>
      <xdr:row>28</xdr:row>
      <xdr:rowOff>45877</xdr:rowOff>
    </xdr:to>
    <xdr:pic>
      <xdr:nvPicPr>
        <xdr:cNvPr id="50" name="Рисунок 49">
          <a:extLst>
            <a:ext uri="{FF2B5EF4-FFF2-40B4-BE49-F238E27FC236}">
              <a16:creationId xmlns:a16="http://schemas.microsoft.com/office/drawing/2014/main" id="{BDA91521-392E-4AE8-BDD5-2A6B42E75AD4}"/>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92698" y="3594652"/>
          <a:ext cx="1014114" cy="774747"/>
        </a:xfrm>
        <a:prstGeom prst="rect">
          <a:avLst/>
        </a:prstGeom>
      </xdr:spPr>
    </xdr:pic>
    <xdr:clientData/>
  </xdr:twoCellAnchor>
  <xdr:twoCellAnchor editAs="oneCell">
    <xdr:from>
      <xdr:col>62</xdr:col>
      <xdr:colOff>72886</xdr:colOff>
      <xdr:row>7</xdr:row>
      <xdr:rowOff>59634</xdr:rowOff>
    </xdr:from>
    <xdr:to>
      <xdr:col>68</xdr:col>
      <xdr:colOff>85696</xdr:colOff>
      <xdr:row>15</xdr:row>
      <xdr:rowOff>21531</xdr:rowOff>
    </xdr:to>
    <xdr:pic>
      <xdr:nvPicPr>
        <xdr:cNvPr id="51" name="Рисунок 50">
          <a:extLst>
            <a:ext uri="{FF2B5EF4-FFF2-40B4-BE49-F238E27FC236}">
              <a16:creationId xmlns:a16="http://schemas.microsoft.com/office/drawing/2014/main" id="{C437747B-C30F-4ADA-B009-C2048799AB8B}"/>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980582" y="1981199"/>
          <a:ext cx="766527" cy="947528"/>
        </a:xfrm>
        <a:prstGeom prst="rect">
          <a:avLst/>
        </a:prstGeom>
      </xdr:spPr>
    </xdr:pic>
    <xdr:clientData/>
  </xdr:twoCellAnchor>
  <xdr:twoCellAnchor editAs="oneCell">
    <xdr:from>
      <xdr:col>68</xdr:col>
      <xdr:colOff>99478</xdr:colOff>
      <xdr:row>0</xdr:row>
      <xdr:rowOff>649087</xdr:rowOff>
    </xdr:from>
    <xdr:to>
      <xdr:col>74</xdr:col>
      <xdr:colOff>54921</xdr:colOff>
      <xdr:row>1</xdr:row>
      <xdr:rowOff>102958</xdr:rowOff>
    </xdr:to>
    <xdr:pic>
      <xdr:nvPicPr>
        <xdr:cNvPr id="53" name="Рисунок 52">
          <a:extLst>
            <a:ext uri="{FF2B5EF4-FFF2-40B4-BE49-F238E27FC236}">
              <a16:creationId xmlns:a16="http://schemas.microsoft.com/office/drawing/2014/main" id="{9A8CE273-5FF8-4F26-80C7-69FA2D0312D3}"/>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rot="20918134">
          <a:off x="7288782" y="649087"/>
          <a:ext cx="551791" cy="605154"/>
        </a:xfrm>
        <a:prstGeom prst="rect">
          <a:avLst/>
        </a:prstGeom>
      </xdr:spPr>
    </xdr:pic>
    <xdr:clientData/>
  </xdr:twoCellAnchor>
  <xdr:twoCellAnchor editAs="oneCell">
    <xdr:from>
      <xdr:col>14</xdr:col>
      <xdr:colOff>47625</xdr:colOff>
      <xdr:row>0</xdr:row>
      <xdr:rowOff>133350</xdr:rowOff>
    </xdr:from>
    <xdr:to>
      <xdr:col>48</xdr:col>
      <xdr:colOff>0</xdr:colOff>
      <xdr:row>0</xdr:row>
      <xdr:rowOff>1000125</xdr:rowOff>
    </xdr:to>
    <xdr:pic>
      <xdr:nvPicPr>
        <xdr:cNvPr id="2" name="Рисунок 1">
          <a:extLst>
            <a:ext uri="{FF2B5EF4-FFF2-40B4-BE49-F238E27FC236}">
              <a16:creationId xmlns:a16="http://schemas.microsoft.com/office/drawing/2014/main" id="{D988AEA2-7972-4EBA-8A95-30DF335A64C4}"/>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1543050" y="133350"/>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123825</xdr:colOff>
      <xdr:row>17</xdr:row>
      <xdr:rowOff>19051</xdr:rowOff>
    </xdr:from>
    <xdr:to>
      <xdr:col>3</xdr:col>
      <xdr:colOff>1629846</xdr:colOff>
      <xdr:row>20</xdr:row>
      <xdr:rowOff>38101</xdr:rowOff>
    </xdr:to>
    <xdr:pic>
      <xdr:nvPicPr>
        <xdr:cNvPr id="2" name="Рисунок 1">
          <a:extLst>
            <a:ext uri="{FF2B5EF4-FFF2-40B4-BE49-F238E27FC236}">
              <a16:creationId xmlns:a16="http://schemas.microsoft.com/office/drawing/2014/main" id="{2909423C-BC03-4DD2-956D-924842B5F03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114800" y="5629276"/>
          <a:ext cx="1506021" cy="1104900"/>
        </a:xfrm>
        <a:prstGeom prst="rect">
          <a:avLst/>
        </a:prstGeom>
      </xdr:spPr>
    </xdr:pic>
    <xdr:clientData/>
  </xdr:twoCellAnchor>
  <xdr:twoCellAnchor editAs="oneCell">
    <xdr:from>
      <xdr:col>3</xdr:col>
      <xdr:colOff>142876</xdr:colOff>
      <xdr:row>24</xdr:row>
      <xdr:rowOff>28575</xdr:rowOff>
    </xdr:from>
    <xdr:to>
      <xdr:col>3</xdr:col>
      <xdr:colOff>1542982</xdr:colOff>
      <xdr:row>25</xdr:row>
      <xdr:rowOff>238125</xdr:rowOff>
    </xdr:to>
    <xdr:pic>
      <xdr:nvPicPr>
        <xdr:cNvPr id="3" name="Рисунок 2">
          <a:extLst>
            <a:ext uri="{FF2B5EF4-FFF2-40B4-BE49-F238E27FC236}">
              <a16:creationId xmlns:a16="http://schemas.microsoft.com/office/drawing/2014/main" id="{6B45345A-2F1A-4DA5-BC62-C62B079BC3DA}"/>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133851" y="9439275"/>
          <a:ext cx="1400106" cy="571500"/>
        </a:xfrm>
        <a:prstGeom prst="rect">
          <a:avLst/>
        </a:prstGeom>
      </xdr:spPr>
    </xdr:pic>
    <xdr:clientData/>
  </xdr:twoCellAnchor>
  <xdr:twoCellAnchor editAs="oneCell">
    <xdr:from>
      <xdr:col>3</xdr:col>
      <xdr:colOff>190500</xdr:colOff>
      <xdr:row>26</xdr:row>
      <xdr:rowOff>142875</xdr:rowOff>
    </xdr:from>
    <xdr:to>
      <xdr:col>3</xdr:col>
      <xdr:colOff>1476375</xdr:colOff>
      <xdr:row>28</xdr:row>
      <xdr:rowOff>114300</xdr:rowOff>
    </xdr:to>
    <xdr:pic>
      <xdr:nvPicPr>
        <xdr:cNvPr id="4" name="Рисунок 3">
          <a:extLst>
            <a:ext uri="{FF2B5EF4-FFF2-40B4-BE49-F238E27FC236}">
              <a16:creationId xmlns:a16="http://schemas.microsoft.com/office/drawing/2014/main" id="{D74E0878-3E85-404E-946F-B76C95F2E5EB}"/>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181475" y="10277475"/>
          <a:ext cx="1285875" cy="695325"/>
        </a:xfrm>
        <a:prstGeom prst="rect">
          <a:avLst/>
        </a:prstGeom>
      </xdr:spPr>
    </xdr:pic>
    <xdr:clientData/>
  </xdr:twoCellAnchor>
  <xdr:twoCellAnchor editAs="oneCell">
    <xdr:from>
      <xdr:col>3</xdr:col>
      <xdr:colOff>85725</xdr:colOff>
      <xdr:row>7</xdr:row>
      <xdr:rowOff>28575</xdr:rowOff>
    </xdr:from>
    <xdr:to>
      <xdr:col>3</xdr:col>
      <xdr:colOff>1582556</xdr:colOff>
      <xdr:row>9</xdr:row>
      <xdr:rowOff>295275</xdr:rowOff>
    </xdr:to>
    <xdr:pic>
      <xdr:nvPicPr>
        <xdr:cNvPr id="5" name="Рисунок 4">
          <a:extLst>
            <a:ext uri="{FF2B5EF4-FFF2-40B4-BE49-F238E27FC236}">
              <a16:creationId xmlns:a16="http://schemas.microsoft.com/office/drawing/2014/main" id="{D7D7238F-F01C-4C65-AEAC-EE2AFEF262D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76700" y="1476375"/>
          <a:ext cx="1496831" cy="990600"/>
        </a:xfrm>
        <a:prstGeom prst="rect">
          <a:avLst/>
        </a:prstGeom>
      </xdr:spPr>
    </xdr:pic>
    <xdr:clientData/>
  </xdr:twoCellAnchor>
  <xdr:twoCellAnchor editAs="oneCell">
    <xdr:from>
      <xdr:col>3</xdr:col>
      <xdr:colOff>155576</xdr:colOff>
      <xdr:row>30</xdr:row>
      <xdr:rowOff>358776</xdr:rowOff>
    </xdr:from>
    <xdr:to>
      <xdr:col>3</xdr:col>
      <xdr:colOff>1476375</xdr:colOff>
      <xdr:row>33</xdr:row>
      <xdr:rowOff>161925</xdr:rowOff>
    </xdr:to>
    <xdr:pic>
      <xdr:nvPicPr>
        <xdr:cNvPr id="6" name="Рисунок 5">
          <a:extLst>
            <a:ext uri="{FF2B5EF4-FFF2-40B4-BE49-F238E27FC236}">
              <a16:creationId xmlns:a16="http://schemas.microsoft.com/office/drawing/2014/main" id="{BA39ACF1-2E66-4537-9C7B-B7C9A0A8801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146551" y="12303126"/>
          <a:ext cx="1320799" cy="888999"/>
        </a:xfrm>
        <a:prstGeom prst="rect">
          <a:avLst/>
        </a:prstGeom>
      </xdr:spPr>
    </xdr:pic>
    <xdr:clientData/>
  </xdr:twoCellAnchor>
  <xdr:twoCellAnchor editAs="oneCell">
    <xdr:from>
      <xdr:col>3</xdr:col>
      <xdr:colOff>85725</xdr:colOff>
      <xdr:row>40</xdr:row>
      <xdr:rowOff>152402</xdr:rowOff>
    </xdr:from>
    <xdr:to>
      <xdr:col>3</xdr:col>
      <xdr:colOff>1613326</xdr:colOff>
      <xdr:row>42</xdr:row>
      <xdr:rowOff>161926</xdr:rowOff>
    </xdr:to>
    <xdr:pic>
      <xdr:nvPicPr>
        <xdr:cNvPr id="7" name="Рисунок 6">
          <a:extLst>
            <a:ext uri="{FF2B5EF4-FFF2-40B4-BE49-F238E27FC236}">
              <a16:creationId xmlns:a16="http://schemas.microsoft.com/office/drawing/2014/main" id="{725BA3D2-BE9F-4D75-9569-C02F63C7B87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076700" y="16259177"/>
          <a:ext cx="1527601" cy="733424"/>
        </a:xfrm>
        <a:prstGeom prst="rect">
          <a:avLst/>
        </a:prstGeom>
      </xdr:spPr>
    </xdr:pic>
    <xdr:clientData/>
  </xdr:twoCellAnchor>
  <xdr:twoCellAnchor editAs="oneCell">
    <xdr:from>
      <xdr:col>4</xdr:col>
      <xdr:colOff>1543050</xdr:colOff>
      <xdr:row>0</xdr:row>
      <xdr:rowOff>857251</xdr:rowOff>
    </xdr:from>
    <xdr:to>
      <xdr:col>5</xdr:col>
      <xdr:colOff>374543</xdr:colOff>
      <xdr:row>1</xdr:row>
      <xdr:rowOff>311122</xdr:rowOff>
    </xdr:to>
    <xdr:pic>
      <xdr:nvPicPr>
        <xdr:cNvPr id="11" name="Рисунок 10">
          <a:extLst>
            <a:ext uri="{FF2B5EF4-FFF2-40B4-BE49-F238E27FC236}">
              <a16:creationId xmlns:a16="http://schemas.microsoft.com/office/drawing/2014/main" id="{75DCF686-CDFC-4027-9141-6066CAC8F10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20918134">
          <a:off x="7677150" y="857251"/>
          <a:ext cx="545993" cy="606396"/>
        </a:xfrm>
        <a:prstGeom prst="rect">
          <a:avLst/>
        </a:prstGeom>
      </xdr:spPr>
    </xdr:pic>
    <xdr:clientData/>
  </xdr:twoCellAnchor>
  <xdr:twoCellAnchor editAs="oneCell">
    <xdr:from>
      <xdr:col>1</xdr:col>
      <xdr:colOff>1009650</xdr:colOff>
      <xdr:row>0</xdr:row>
      <xdr:rowOff>152400</xdr:rowOff>
    </xdr:from>
    <xdr:to>
      <xdr:col>3</xdr:col>
      <xdr:colOff>781050</xdr:colOff>
      <xdr:row>0</xdr:row>
      <xdr:rowOff>1019175</xdr:rowOff>
    </xdr:to>
    <xdr:pic>
      <xdr:nvPicPr>
        <xdr:cNvPr id="8" name="Рисунок 7">
          <a:extLst>
            <a:ext uri="{FF2B5EF4-FFF2-40B4-BE49-F238E27FC236}">
              <a16:creationId xmlns:a16="http://schemas.microsoft.com/office/drawing/2014/main" id="{18157A79-EAAE-487A-A958-9068F2436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390650" y="152400"/>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323850</xdr:colOff>
      <xdr:row>24</xdr:row>
      <xdr:rowOff>114300</xdr:rowOff>
    </xdr:from>
    <xdr:to>
      <xdr:col>17</xdr:col>
      <xdr:colOff>152400</xdr:colOff>
      <xdr:row>48</xdr:row>
      <xdr:rowOff>123825</xdr:rowOff>
    </xdr:to>
    <xdr:pic>
      <xdr:nvPicPr>
        <xdr:cNvPr id="2" name="Рисунок 1" descr="height-groups-4-big">
          <a:extLst>
            <a:ext uri="{FF2B5EF4-FFF2-40B4-BE49-F238E27FC236}">
              <a16:creationId xmlns:a16="http://schemas.microsoft.com/office/drawing/2014/main" id="{6E57C9FF-7529-493C-B6C2-26D4F7992ADB}"/>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23850" y="4686300"/>
          <a:ext cx="10191750"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17</xdr:col>
      <xdr:colOff>257176</xdr:colOff>
      <xdr:row>23</xdr:row>
      <xdr:rowOff>104775</xdr:rowOff>
    </xdr:to>
    <xdr:pic>
      <xdr:nvPicPr>
        <xdr:cNvPr id="3" name="Рисунок 2">
          <a:extLst>
            <a:ext uri="{FF2B5EF4-FFF2-40B4-BE49-F238E27FC236}">
              <a16:creationId xmlns:a16="http://schemas.microsoft.com/office/drawing/2014/main" id="{135201D2-3A03-41C3-A8DE-93FE5ED33AE4}"/>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0" y="0"/>
          <a:ext cx="10620376" cy="448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24846</xdr:colOff>
      <xdr:row>21</xdr:row>
      <xdr:rowOff>16566</xdr:rowOff>
    </xdr:from>
    <xdr:to>
      <xdr:col>20</xdr:col>
      <xdr:colOff>26256</xdr:colOff>
      <xdr:row>29</xdr:row>
      <xdr:rowOff>16566</xdr:rowOff>
    </xdr:to>
    <xdr:pic>
      <xdr:nvPicPr>
        <xdr:cNvPr id="3" name="Рисунок 2">
          <a:extLst>
            <a:ext uri="{FF2B5EF4-FFF2-40B4-BE49-F238E27FC236}">
              <a16:creationId xmlns:a16="http://schemas.microsoft.com/office/drawing/2014/main" id="{0AD43371-D0FF-4165-BEDF-2B4ACFA99A0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377396" y="2912166"/>
          <a:ext cx="1115835" cy="914400"/>
        </a:xfrm>
        <a:prstGeom prst="rect">
          <a:avLst/>
        </a:prstGeom>
      </xdr:spPr>
    </xdr:pic>
    <xdr:clientData/>
  </xdr:twoCellAnchor>
  <xdr:twoCellAnchor editAs="oneCell">
    <xdr:from>
      <xdr:col>23</xdr:col>
      <xdr:colOff>5800</xdr:colOff>
      <xdr:row>21</xdr:row>
      <xdr:rowOff>4556</xdr:rowOff>
    </xdr:from>
    <xdr:to>
      <xdr:col>31</xdr:col>
      <xdr:colOff>49670</xdr:colOff>
      <xdr:row>27</xdr:row>
      <xdr:rowOff>110573</xdr:rowOff>
    </xdr:to>
    <xdr:pic>
      <xdr:nvPicPr>
        <xdr:cNvPr id="4" name="Рисунок 3">
          <a:extLst>
            <a:ext uri="{FF2B5EF4-FFF2-40B4-BE49-F238E27FC236}">
              <a16:creationId xmlns:a16="http://schemas.microsoft.com/office/drawing/2014/main" id="{54E7BC49-6181-4770-AC9F-25AECE256D54}"/>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053800" y="3414506"/>
          <a:ext cx="1101145" cy="791817"/>
        </a:xfrm>
        <a:prstGeom prst="rect">
          <a:avLst/>
        </a:prstGeom>
      </xdr:spPr>
    </xdr:pic>
    <xdr:clientData/>
  </xdr:twoCellAnchor>
  <xdr:twoCellAnchor editAs="oneCell">
    <xdr:from>
      <xdr:col>34</xdr:col>
      <xdr:colOff>41414</xdr:colOff>
      <xdr:row>21</xdr:row>
      <xdr:rowOff>33130</xdr:rowOff>
    </xdr:from>
    <xdr:to>
      <xdr:col>42</xdr:col>
      <xdr:colOff>44939</xdr:colOff>
      <xdr:row>28</xdr:row>
      <xdr:rowOff>66261</xdr:rowOff>
    </xdr:to>
    <xdr:pic>
      <xdr:nvPicPr>
        <xdr:cNvPr id="5" name="Рисунок 4">
          <a:extLst>
            <a:ext uri="{FF2B5EF4-FFF2-40B4-BE49-F238E27FC236}">
              <a16:creationId xmlns:a16="http://schemas.microsoft.com/office/drawing/2014/main" id="{1A1DF265-856A-485B-9D0D-F5CB02C336F7}"/>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727589" y="2928730"/>
          <a:ext cx="1070325" cy="833231"/>
        </a:xfrm>
        <a:prstGeom prst="rect">
          <a:avLst/>
        </a:prstGeom>
      </xdr:spPr>
    </xdr:pic>
    <xdr:clientData/>
  </xdr:twoCellAnchor>
  <xdr:twoCellAnchor editAs="oneCell">
    <xdr:from>
      <xdr:col>45</xdr:col>
      <xdr:colOff>99391</xdr:colOff>
      <xdr:row>20</xdr:row>
      <xdr:rowOff>74543</xdr:rowOff>
    </xdr:from>
    <xdr:to>
      <xdr:col>53</xdr:col>
      <xdr:colOff>55562</xdr:colOff>
      <xdr:row>29</xdr:row>
      <xdr:rowOff>74543</xdr:rowOff>
    </xdr:to>
    <xdr:pic>
      <xdr:nvPicPr>
        <xdr:cNvPr id="6" name="Рисунок 5">
          <a:extLst>
            <a:ext uri="{FF2B5EF4-FFF2-40B4-BE49-F238E27FC236}">
              <a16:creationId xmlns:a16="http://schemas.microsoft.com/office/drawing/2014/main" id="{D63D97A5-B835-43BA-A73D-E8F04C79C122}"/>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976191" y="2855843"/>
          <a:ext cx="1022971" cy="1028700"/>
        </a:xfrm>
        <a:prstGeom prst="rect">
          <a:avLst/>
        </a:prstGeom>
      </xdr:spPr>
    </xdr:pic>
    <xdr:clientData/>
  </xdr:twoCellAnchor>
  <xdr:twoCellAnchor editAs="oneCell">
    <xdr:from>
      <xdr:col>12</xdr:col>
      <xdr:colOff>41413</xdr:colOff>
      <xdr:row>35</xdr:row>
      <xdr:rowOff>99391</xdr:rowOff>
    </xdr:from>
    <xdr:to>
      <xdr:col>19</xdr:col>
      <xdr:colOff>105472</xdr:colOff>
      <xdr:row>41</xdr:row>
      <xdr:rowOff>82826</xdr:rowOff>
    </xdr:to>
    <xdr:pic>
      <xdr:nvPicPr>
        <xdr:cNvPr id="7" name="Рисунок 6">
          <a:extLst>
            <a:ext uri="{FF2B5EF4-FFF2-40B4-BE49-F238E27FC236}">
              <a16:creationId xmlns:a16="http://schemas.microsoft.com/office/drawing/2014/main" id="{A6426E0F-14C2-4D21-A443-F63E98BE2AB1}"/>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93963" y="4499941"/>
          <a:ext cx="1064184" cy="669235"/>
        </a:xfrm>
        <a:prstGeom prst="rect">
          <a:avLst/>
        </a:prstGeom>
      </xdr:spPr>
    </xdr:pic>
    <xdr:clientData/>
  </xdr:twoCellAnchor>
  <xdr:twoCellAnchor editAs="oneCell">
    <xdr:from>
      <xdr:col>46</xdr:col>
      <xdr:colOff>41415</xdr:colOff>
      <xdr:row>34</xdr:row>
      <xdr:rowOff>49697</xdr:rowOff>
    </xdr:from>
    <xdr:to>
      <xdr:col>52</xdr:col>
      <xdr:colOff>17679</xdr:colOff>
      <xdr:row>42</xdr:row>
      <xdr:rowOff>99392</xdr:rowOff>
    </xdr:to>
    <xdr:pic>
      <xdr:nvPicPr>
        <xdr:cNvPr id="8" name="Рисунок 7">
          <a:extLst>
            <a:ext uri="{FF2B5EF4-FFF2-40B4-BE49-F238E27FC236}">
              <a16:creationId xmlns:a16="http://schemas.microsoft.com/office/drawing/2014/main" id="{740B8ADF-7FF5-47AB-A23F-118E032F252D}"/>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5032515" y="4335947"/>
          <a:ext cx="814464" cy="964095"/>
        </a:xfrm>
        <a:prstGeom prst="rect">
          <a:avLst/>
        </a:prstGeom>
      </xdr:spPr>
    </xdr:pic>
    <xdr:clientData/>
  </xdr:twoCellAnchor>
  <xdr:twoCellAnchor editAs="oneCell">
    <xdr:from>
      <xdr:col>58</xdr:col>
      <xdr:colOff>24849</xdr:colOff>
      <xdr:row>34</xdr:row>
      <xdr:rowOff>0</xdr:rowOff>
    </xdr:from>
    <xdr:to>
      <xdr:col>62</xdr:col>
      <xdr:colOff>224637</xdr:colOff>
      <xdr:row>43</xdr:row>
      <xdr:rowOff>8283</xdr:rowOff>
    </xdr:to>
    <xdr:pic>
      <xdr:nvPicPr>
        <xdr:cNvPr id="9" name="Рисунок 8">
          <a:extLst>
            <a:ext uri="{FF2B5EF4-FFF2-40B4-BE49-F238E27FC236}">
              <a16:creationId xmlns:a16="http://schemas.microsoft.com/office/drawing/2014/main" id="{0B20125E-F4C9-4FEF-BE63-36EFB06574B9}"/>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444699" y="4286250"/>
          <a:ext cx="695088" cy="1036983"/>
        </a:xfrm>
        <a:prstGeom prst="rect">
          <a:avLst/>
        </a:prstGeom>
      </xdr:spPr>
    </xdr:pic>
    <xdr:clientData/>
  </xdr:twoCellAnchor>
  <xdr:twoCellAnchor editAs="oneCell">
    <xdr:from>
      <xdr:col>14</xdr:col>
      <xdr:colOff>24504</xdr:colOff>
      <xdr:row>47</xdr:row>
      <xdr:rowOff>38582</xdr:rowOff>
    </xdr:from>
    <xdr:to>
      <xdr:col>19</xdr:col>
      <xdr:colOff>95250</xdr:colOff>
      <xdr:row>56</xdr:row>
      <xdr:rowOff>8789</xdr:rowOff>
    </xdr:to>
    <xdr:pic>
      <xdr:nvPicPr>
        <xdr:cNvPr id="10" name="Рисунок 9">
          <a:extLst>
            <a:ext uri="{FF2B5EF4-FFF2-40B4-BE49-F238E27FC236}">
              <a16:creationId xmlns:a16="http://schemas.microsoft.com/office/drawing/2014/main" id="{D2E6F41B-881B-4FD8-910A-5A20FFF07CEC}"/>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748529" y="6229832"/>
          <a:ext cx="842271" cy="998907"/>
        </a:xfrm>
        <a:prstGeom prst="rect">
          <a:avLst/>
        </a:prstGeom>
      </xdr:spPr>
    </xdr:pic>
    <xdr:clientData/>
  </xdr:twoCellAnchor>
  <xdr:twoCellAnchor editAs="oneCell">
    <xdr:from>
      <xdr:col>34</xdr:col>
      <xdr:colOff>57977</xdr:colOff>
      <xdr:row>48</xdr:row>
      <xdr:rowOff>41414</xdr:rowOff>
    </xdr:from>
    <xdr:to>
      <xdr:col>42</xdr:col>
      <xdr:colOff>52374</xdr:colOff>
      <xdr:row>56</xdr:row>
      <xdr:rowOff>91109</xdr:rowOff>
    </xdr:to>
    <xdr:pic>
      <xdr:nvPicPr>
        <xdr:cNvPr id="11" name="Рисунок 10">
          <a:extLst>
            <a:ext uri="{FF2B5EF4-FFF2-40B4-BE49-F238E27FC236}">
              <a16:creationId xmlns:a16="http://schemas.microsoft.com/office/drawing/2014/main" id="{AF32523F-7E12-4235-B2B7-8E7EE403FE2E}"/>
            </a:ext>
          </a:extLst>
        </xdr:cNvPr>
        <xdr:cNvPicPr>
          <a:picLocks noChangeAspect="1"/>
        </xdr:cNvPicPr>
      </xdr:nvPicPr>
      <xdr:blipFill rotWithShape="1">
        <a:blip xmlns:r="http://schemas.openxmlformats.org/officeDocument/2006/relationships" r:embed="rId9"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744152" y="5832614"/>
          <a:ext cx="1061197" cy="964095"/>
        </a:xfrm>
        <a:prstGeom prst="rect">
          <a:avLst/>
        </a:prstGeom>
      </xdr:spPr>
    </xdr:pic>
    <xdr:clientData/>
  </xdr:twoCellAnchor>
  <xdr:twoCellAnchor editAs="oneCell">
    <xdr:from>
      <xdr:col>45</xdr:col>
      <xdr:colOff>33129</xdr:colOff>
      <xdr:row>50</xdr:row>
      <xdr:rowOff>16567</xdr:rowOff>
    </xdr:from>
    <xdr:to>
      <xdr:col>53</xdr:col>
      <xdr:colOff>67797</xdr:colOff>
      <xdr:row>53</xdr:row>
      <xdr:rowOff>107674</xdr:rowOff>
    </xdr:to>
    <xdr:pic>
      <xdr:nvPicPr>
        <xdr:cNvPr id="12" name="Рисунок 11">
          <a:extLst>
            <a:ext uri="{FF2B5EF4-FFF2-40B4-BE49-F238E27FC236}">
              <a16:creationId xmlns:a16="http://schemas.microsoft.com/office/drawing/2014/main" id="{2BDED9C5-BEB0-4A96-91A6-8FC34E0EFB4F}"/>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4909929" y="6036367"/>
          <a:ext cx="1101468" cy="434007"/>
        </a:xfrm>
        <a:prstGeom prst="rect">
          <a:avLst/>
        </a:prstGeom>
      </xdr:spPr>
    </xdr:pic>
    <xdr:clientData/>
  </xdr:twoCellAnchor>
  <xdr:twoCellAnchor editAs="oneCell">
    <xdr:from>
      <xdr:col>1</xdr:col>
      <xdr:colOff>91112</xdr:colOff>
      <xdr:row>62</xdr:row>
      <xdr:rowOff>99395</xdr:rowOff>
    </xdr:from>
    <xdr:to>
      <xdr:col>8</xdr:col>
      <xdr:colOff>72473</xdr:colOff>
      <xdr:row>70</xdr:row>
      <xdr:rowOff>41348</xdr:rowOff>
    </xdr:to>
    <xdr:pic>
      <xdr:nvPicPr>
        <xdr:cNvPr id="13" name="Рисунок 12">
          <a:extLst>
            <a:ext uri="{FF2B5EF4-FFF2-40B4-BE49-F238E27FC236}">
              <a16:creationId xmlns:a16="http://schemas.microsoft.com/office/drawing/2014/main" id="{77712A00-1D81-47AF-B9E2-6791D3E737C4}"/>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10162" y="7395545"/>
          <a:ext cx="952911" cy="856353"/>
        </a:xfrm>
        <a:prstGeom prst="rect">
          <a:avLst/>
        </a:prstGeom>
      </xdr:spPr>
    </xdr:pic>
    <xdr:clientData/>
  </xdr:twoCellAnchor>
  <xdr:twoCellAnchor editAs="oneCell">
    <xdr:from>
      <xdr:col>26</xdr:col>
      <xdr:colOff>56859</xdr:colOff>
      <xdr:row>48</xdr:row>
      <xdr:rowOff>17520</xdr:rowOff>
    </xdr:from>
    <xdr:to>
      <xdr:col>31</xdr:col>
      <xdr:colOff>83241</xdr:colOff>
      <xdr:row>57</xdr:row>
      <xdr:rowOff>102704</xdr:rowOff>
    </xdr:to>
    <xdr:pic>
      <xdr:nvPicPr>
        <xdr:cNvPr id="16" name="Рисунок 15">
          <a:extLst>
            <a:ext uri="{FF2B5EF4-FFF2-40B4-BE49-F238E27FC236}">
              <a16:creationId xmlns:a16="http://schemas.microsoft.com/office/drawing/2014/main" id="{91FE6022-EADC-4105-B22F-B83C23EF5CE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447759" y="6323070"/>
          <a:ext cx="740757" cy="1113884"/>
        </a:xfrm>
        <a:prstGeom prst="rect">
          <a:avLst/>
        </a:prstGeom>
      </xdr:spPr>
    </xdr:pic>
    <xdr:clientData/>
  </xdr:twoCellAnchor>
  <xdr:twoCellAnchor editAs="oneCell">
    <xdr:from>
      <xdr:col>13</xdr:col>
      <xdr:colOff>99805</xdr:colOff>
      <xdr:row>61</xdr:row>
      <xdr:rowOff>102144</xdr:rowOff>
    </xdr:from>
    <xdr:to>
      <xdr:col>20</xdr:col>
      <xdr:colOff>23251</xdr:colOff>
      <xdr:row>71</xdr:row>
      <xdr:rowOff>89866</xdr:rowOff>
    </xdr:to>
    <xdr:pic>
      <xdr:nvPicPr>
        <xdr:cNvPr id="18" name="Рисунок 17">
          <a:extLst>
            <a:ext uri="{FF2B5EF4-FFF2-40B4-BE49-F238E27FC236}">
              <a16:creationId xmlns:a16="http://schemas.microsoft.com/office/drawing/2014/main" id="{EFC839D5-F05E-4A2F-A4B3-5D4288AB45E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09530" y="7798344"/>
          <a:ext cx="923571" cy="1130722"/>
        </a:xfrm>
        <a:prstGeom prst="rect">
          <a:avLst/>
        </a:prstGeom>
      </xdr:spPr>
    </xdr:pic>
    <xdr:clientData/>
  </xdr:twoCellAnchor>
  <xdr:twoCellAnchor editAs="oneCell">
    <xdr:from>
      <xdr:col>25</xdr:col>
      <xdr:colOff>66261</xdr:colOff>
      <xdr:row>61</xdr:row>
      <xdr:rowOff>85725</xdr:rowOff>
    </xdr:from>
    <xdr:to>
      <xdr:col>30</xdr:col>
      <xdr:colOff>79691</xdr:colOff>
      <xdr:row>71</xdr:row>
      <xdr:rowOff>75418</xdr:rowOff>
    </xdr:to>
    <xdr:pic>
      <xdr:nvPicPr>
        <xdr:cNvPr id="19" name="Рисунок 18">
          <a:extLst>
            <a:ext uri="{FF2B5EF4-FFF2-40B4-BE49-F238E27FC236}">
              <a16:creationId xmlns:a16="http://schemas.microsoft.com/office/drawing/2014/main" id="{B77D0A81-7461-42AB-B3B3-77A2B62AA517}"/>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3342861" y="7781925"/>
          <a:ext cx="727805" cy="1132693"/>
        </a:xfrm>
        <a:prstGeom prst="rect">
          <a:avLst/>
        </a:prstGeom>
      </xdr:spPr>
    </xdr:pic>
    <xdr:clientData/>
  </xdr:twoCellAnchor>
  <xdr:twoCellAnchor editAs="oneCell">
    <xdr:from>
      <xdr:col>58</xdr:col>
      <xdr:colOff>98150</xdr:colOff>
      <xdr:row>19</xdr:row>
      <xdr:rowOff>108915</xdr:rowOff>
    </xdr:from>
    <xdr:to>
      <xdr:col>64</xdr:col>
      <xdr:colOff>49696</xdr:colOff>
      <xdr:row>29</xdr:row>
      <xdr:rowOff>109549</xdr:rowOff>
    </xdr:to>
    <xdr:pic>
      <xdr:nvPicPr>
        <xdr:cNvPr id="20" name="Рисунок 19">
          <a:extLst>
            <a:ext uri="{FF2B5EF4-FFF2-40B4-BE49-F238E27FC236}">
              <a16:creationId xmlns:a16="http://schemas.microsoft.com/office/drawing/2014/main" id="{C5B5AB52-E0DF-46AD-BD48-5BE5412990AB}"/>
            </a:ext>
          </a:extLst>
        </xdr:cNvPr>
        <xdr:cNvPicPr>
          <a:picLocks noChangeAspect="1"/>
        </xdr:cNvPicPr>
      </xdr:nvPicPr>
      <xdr:blipFill>
        <a:blip xmlns:r="http://schemas.openxmlformats.org/officeDocument/2006/relationships" r:embed="rId15" cstate="email">
          <a:clrChange>
            <a:clrFrom>
              <a:srgbClr val="FEFEFE"/>
            </a:clrFrom>
            <a:clrTo>
              <a:srgbClr val="FEFEFE">
                <a:alpha val="0"/>
              </a:srgbClr>
            </a:clrTo>
          </a:clrChange>
          <a:extLst>
            <a:ext uri="{28A0092B-C50C-407E-A947-70E740481C1C}">
              <a14:useLocalDpi xmlns:a14="http://schemas.microsoft.com/office/drawing/2010/main"/>
            </a:ext>
          </a:extLst>
        </a:blip>
        <a:stretch>
          <a:fillRect/>
        </a:stretch>
      </xdr:blipFill>
      <xdr:spPr>
        <a:xfrm>
          <a:off x="7746725" y="3290265"/>
          <a:ext cx="799271" cy="1143634"/>
        </a:xfrm>
        <a:prstGeom prst="rect">
          <a:avLst/>
        </a:prstGeom>
      </xdr:spPr>
    </xdr:pic>
    <xdr:clientData/>
  </xdr:twoCellAnchor>
  <xdr:twoCellAnchor editAs="oneCell">
    <xdr:from>
      <xdr:col>23</xdr:col>
      <xdr:colOff>41413</xdr:colOff>
      <xdr:row>7</xdr:row>
      <xdr:rowOff>41411</xdr:rowOff>
    </xdr:from>
    <xdr:to>
      <xdr:col>31</xdr:col>
      <xdr:colOff>73764</xdr:colOff>
      <xdr:row>12</xdr:row>
      <xdr:rowOff>24848</xdr:rowOff>
    </xdr:to>
    <xdr:pic>
      <xdr:nvPicPr>
        <xdr:cNvPr id="21" name="Picture 5" descr="8981f385243bd7059a574efc58dd75fc">
          <a:extLst>
            <a:ext uri="{FF2B5EF4-FFF2-40B4-BE49-F238E27FC236}">
              <a16:creationId xmlns:a16="http://schemas.microsoft.com/office/drawing/2014/main" id="{FFE8CB16-CE44-4FB1-8498-5CF99EA4A00B}"/>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2565538" y="1432061"/>
          <a:ext cx="1089626" cy="554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33130</xdr:colOff>
      <xdr:row>7</xdr:row>
      <xdr:rowOff>74542</xdr:rowOff>
    </xdr:from>
    <xdr:to>
      <xdr:col>42</xdr:col>
      <xdr:colOff>52782</xdr:colOff>
      <xdr:row>12</xdr:row>
      <xdr:rowOff>57979</xdr:rowOff>
    </xdr:to>
    <xdr:pic>
      <xdr:nvPicPr>
        <xdr:cNvPr id="22" name="Picture 5" descr="8981f385243bd7059a574efc58dd75fc">
          <a:extLst>
            <a:ext uri="{FF2B5EF4-FFF2-40B4-BE49-F238E27FC236}">
              <a16:creationId xmlns:a16="http://schemas.microsoft.com/office/drawing/2014/main" id="{D22064AC-17EE-4342-83E9-294ECB66F494}"/>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3719305" y="1465192"/>
          <a:ext cx="1086452" cy="554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49696</xdr:colOff>
      <xdr:row>6</xdr:row>
      <xdr:rowOff>8285</xdr:rowOff>
    </xdr:from>
    <xdr:to>
      <xdr:col>52</xdr:col>
      <xdr:colOff>13397</xdr:colOff>
      <xdr:row>13</xdr:row>
      <xdr:rowOff>99393</xdr:rowOff>
    </xdr:to>
    <xdr:pic>
      <xdr:nvPicPr>
        <xdr:cNvPr id="23" name="Picture 9" descr="e5b552f229e549cc8afd090b91b9947f">
          <a:extLst>
            <a:ext uri="{FF2B5EF4-FFF2-40B4-BE49-F238E27FC236}">
              <a16:creationId xmlns:a16="http://schemas.microsoft.com/office/drawing/2014/main" id="{AA5B2E7D-66B5-448F-9296-FD613CDA6083}"/>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5155096" y="1284635"/>
          <a:ext cx="687601" cy="891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41412</xdr:colOff>
      <xdr:row>5</xdr:row>
      <xdr:rowOff>24848</xdr:rowOff>
    </xdr:from>
    <xdr:to>
      <xdr:col>20</xdr:col>
      <xdr:colOff>13666</xdr:colOff>
      <xdr:row>11</xdr:row>
      <xdr:rowOff>93698</xdr:rowOff>
    </xdr:to>
    <xdr:pic>
      <xdr:nvPicPr>
        <xdr:cNvPr id="24" name="Picture 8" descr="582dcc1c6c51a274da004078ac47ba5d">
          <a:extLst>
            <a:ext uri="{FF2B5EF4-FFF2-40B4-BE49-F238E27FC236}">
              <a16:creationId xmlns:a16="http://schemas.microsoft.com/office/drawing/2014/main" id="{F79F46F7-CBDA-48AC-BE62-49C5500A32A2}"/>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393962" y="1186898"/>
          <a:ext cx="1086679" cy="75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91110</xdr:colOff>
      <xdr:row>33</xdr:row>
      <xdr:rowOff>67090</xdr:rowOff>
    </xdr:from>
    <xdr:to>
      <xdr:col>40</xdr:col>
      <xdr:colOff>91109</xdr:colOff>
      <xdr:row>43</xdr:row>
      <xdr:rowOff>9272</xdr:rowOff>
    </xdr:to>
    <xdr:pic>
      <xdr:nvPicPr>
        <xdr:cNvPr id="25" name="Рисунок 24">
          <a:extLst>
            <a:ext uri="{FF2B5EF4-FFF2-40B4-BE49-F238E27FC236}">
              <a16:creationId xmlns:a16="http://schemas.microsoft.com/office/drawing/2014/main" id="{50D0A1F0-528B-409D-8052-6ABA3F084762}"/>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891585" y="4239040"/>
          <a:ext cx="571499" cy="1085182"/>
        </a:xfrm>
        <a:prstGeom prst="rect">
          <a:avLst/>
        </a:prstGeom>
      </xdr:spPr>
    </xdr:pic>
    <xdr:clientData/>
  </xdr:twoCellAnchor>
  <xdr:twoCellAnchor editAs="oneCell">
    <xdr:from>
      <xdr:col>25</xdr:col>
      <xdr:colOff>24849</xdr:colOff>
      <xdr:row>33</xdr:row>
      <xdr:rowOff>98970</xdr:rowOff>
    </xdr:from>
    <xdr:to>
      <xdr:col>29</xdr:col>
      <xdr:colOff>82827</xdr:colOff>
      <xdr:row>43</xdr:row>
      <xdr:rowOff>1124</xdr:rowOff>
    </xdr:to>
    <xdr:pic>
      <xdr:nvPicPr>
        <xdr:cNvPr id="26" name="Рисунок 25">
          <a:extLst>
            <a:ext uri="{FF2B5EF4-FFF2-40B4-BE49-F238E27FC236}">
              <a16:creationId xmlns:a16="http://schemas.microsoft.com/office/drawing/2014/main" id="{57C678F7-4FF0-4F49-8898-244821B204B5}"/>
            </a:ext>
          </a:extLst>
        </xdr:cNvPr>
        <xdr:cNvPicPr>
          <a:picLocks noChangeAspect="1"/>
        </xdr:cNvPicPr>
      </xdr:nvPicPr>
      <xdr:blipFill>
        <a:blip xmlns:r="http://schemas.openxmlformats.org/officeDocument/2006/relationships" r:embed="rId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777574" y="4270920"/>
          <a:ext cx="515178" cy="1045154"/>
        </a:xfrm>
        <a:prstGeom prst="rect">
          <a:avLst/>
        </a:prstGeom>
      </xdr:spPr>
    </xdr:pic>
    <xdr:clientData/>
  </xdr:twoCellAnchor>
  <xdr:twoCellAnchor editAs="oneCell">
    <xdr:from>
      <xdr:col>1</xdr:col>
      <xdr:colOff>33132</xdr:colOff>
      <xdr:row>36</xdr:row>
      <xdr:rowOff>8282</xdr:rowOff>
    </xdr:from>
    <xdr:to>
      <xdr:col>9</xdr:col>
      <xdr:colOff>42164</xdr:colOff>
      <xdr:row>41</xdr:row>
      <xdr:rowOff>24848</xdr:rowOff>
    </xdr:to>
    <xdr:pic>
      <xdr:nvPicPr>
        <xdr:cNvPr id="27" name="Рисунок 26">
          <a:extLst>
            <a:ext uri="{FF2B5EF4-FFF2-40B4-BE49-F238E27FC236}">
              <a16:creationId xmlns:a16="http://schemas.microsoft.com/office/drawing/2014/main" id="{5BAEEB63-813F-429C-83F2-08B686016EC5}"/>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182" y="4523132"/>
          <a:ext cx="1094882" cy="588066"/>
        </a:xfrm>
        <a:prstGeom prst="rect">
          <a:avLst/>
        </a:prstGeom>
      </xdr:spPr>
    </xdr:pic>
    <xdr:clientData/>
  </xdr:twoCellAnchor>
  <xdr:twoCellAnchor editAs="oneCell">
    <xdr:from>
      <xdr:col>3</xdr:col>
      <xdr:colOff>63224</xdr:colOff>
      <xdr:row>47</xdr:row>
      <xdr:rowOff>63660</xdr:rowOff>
    </xdr:from>
    <xdr:to>
      <xdr:col>9</xdr:col>
      <xdr:colOff>66674</xdr:colOff>
      <xdr:row>56</xdr:row>
      <xdr:rowOff>41078</xdr:rowOff>
    </xdr:to>
    <xdr:pic>
      <xdr:nvPicPr>
        <xdr:cNvPr id="28" name="Рисунок 27">
          <a:extLst>
            <a:ext uri="{FF2B5EF4-FFF2-40B4-BE49-F238E27FC236}">
              <a16:creationId xmlns:a16="http://schemas.microsoft.com/office/drawing/2014/main" id="{0E27EB70-C018-41C9-8338-AAA9DFAA9F81}"/>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0874" y="6092985"/>
          <a:ext cx="860700" cy="1006118"/>
        </a:xfrm>
        <a:prstGeom prst="rect">
          <a:avLst/>
        </a:prstGeom>
      </xdr:spPr>
    </xdr:pic>
    <xdr:clientData/>
  </xdr:twoCellAnchor>
  <xdr:twoCellAnchor editAs="oneCell">
    <xdr:from>
      <xdr:col>58</xdr:col>
      <xdr:colOff>2901</xdr:colOff>
      <xdr:row>6</xdr:row>
      <xdr:rowOff>111402</xdr:rowOff>
    </xdr:from>
    <xdr:to>
      <xdr:col>65</xdr:col>
      <xdr:colOff>19052</xdr:colOff>
      <xdr:row>12</xdr:row>
      <xdr:rowOff>89685</xdr:rowOff>
    </xdr:to>
    <xdr:pic>
      <xdr:nvPicPr>
        <xdr:cNvPr id="29" name="Рисунок 28">
          <a:extLst>
            <a:ext uri="{FF2B5EF4-FFF2-40B4-BE49-F238E27FC236}">
              <a16:creationId xmlns:a16="http://schemas.microsoft.com/office/drawing/2014/main" id="{0EFEA8B9-3368-4EF8-8061-37C58BBFCE87}"/>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7651476" y="1902102"/>
          <a:ext cx="978176" cy="664083"/>
        </a:xfrm>
        <a:prstGeom prst="rect">
          <a:avLst/>
        </a:prstGeom>
      </xdr:spPr>
    </xdr:pic>
    <xdr:clientData/>
  </xdr:twoCellAnchor>
  <xdr:twoCellAnchor editAs="oneCell">
    <xdr:from>
      <xdr:col>45</xdr:col>
      <xdr:colOff>66261</xdr:colOff>
      <xdr:row>102</xdr:row>
      <xdr:rowOff>74544</xdr:rowOff>
    </xdr:from>
    <xdr:to>
      <xdr:col>53</xdr:col>
      <xdr:colOff>76959</xdr:colOff>
      <xdr:row>109</xdr:row>
      <xdr:rowOff>82003</xdr:rowOff>
    </xdr:to>
    <xdr:pic>
      <xdr:nvPicPr>
        <xdr:cNvPr id="30" name="Рисунок 29">
          <a:extLst>
            <a:ext uri="{FF2B5EF4-FFF2-40B4-BE49-F238E27FC236}">
              <a16:creationId xmlns:a16="http://schemas.microsoft.com/office/drawing/2014/main" id="{5FF70C02-57F8-4640-89A7-DCC234CBD893}"/>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943061" y="8875644"/>
          <a:ext cx="1077498" cy="807559"/>
        </a:xfrm>
        <a:prstGeom prst="rect">
          <a:avLst/>
        </a:prstGeom>
      </xdr:spPr>
    </xdr:pic>
    <xdr:clientData/>
  </xdr:twoCellAnchor>
  <xdr:twoCellAnchor editAs="oneCell">
    <xdr:from>
      <xdr:col>57</xdr:col>
      <xdr:colOff>49695</xdr:colOff>
      <xdr:row>102</xdr:row>
      <xdr:rowOff>49695</xdr:rowOff>
    </xdr:from>
    <xdr:to>
      <xdr:col>63</xdr:col>
      <xdr:colOff>92117</xdr:colOff>
      <xdr:row>109</xdr:row>
      <xdr:rowOff>107674</xdr:rowOff>
    </xdr:to>
    <xdr:pic>
      <xdr:nvPicPr>
        <xdr:cNvPr id="31" name="Рисунок 30">
          <a:extLst>
            <a:ext uri="{FF2B5EF4-FFF2-40B4-BE49-F238E27FC236}">
              <a16:creationId xmlns:a16="http://schemas.microsoft.com/office/drawing/2014/main" id="{262FA84B-F992-4E66-83FB-2FEE2C552CD1}"/>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6355245" y="8850795"/>
          <a:ext cx="890147" cy="858079"/>
        </a:xfrm>
        <a:prstGeom prst="rect">
          <a:avLst/>
        </a:prstGeom>
      </xdr:spPr>
    </xdr:pic>
    <xdr:clientData/>
  </xdr:twoCellAnchor>
  <xdr:twoCellAnchor editAs="oneCell">
    <xdr:from>
      <xdr:col>26</xdr:col>
      <xdr:colOff>16566</xdr:colOff>
      <xdr:row>102</xdr:row>
      <xdr:rowOff>24847</xdr:rowOff>
    </xdr:from>
    <xdr:to>
      <xdr:col>30</xdr:col>
      <xdr:colOff>2981</xdr:colOff>
      <xdr:row>109</xdr:row>
      <xdr:rowOff>74544</xdr:rowOff>
    </xdr:to>
    <xdr:pic>
      <xdr:nvPicPr>
        <xdr:cNvPr id="32" name="Рисунок 31">
          <a:extLst>
            <a:ext uri="{FF2B5EF4-FFF2-40B4-BE49-F238E27FC236}">
              <a16:creationId xmlns:a16="http://schemas.microsoft.com/office/drawing/2014/main" id="{881B7D85-AD97-466B-8412-0298DB8FD56B}"/>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883591" y="8825947"/>
          <a:ext cx="586490" cy="849797"/>
        </a:xfrm>
        <a:prstGeom prst="rect">
          <a:avLst/>
        </a:prstGeom>
      </xdr:spPr>
    </xdr:pic>
    <xdr:clientData/>
  </xdr:twoCellAnchor>
  <xdr:twoCellAnchor editAs="oneCell">
    <xdr:from>
      <xdr:col>36</xdr:col>
      <xdr:colOff>91107</xdr:colOff>
      <xdr:row>102</xdr:row>
      <xdr:rowOff>49697</xdr:rowOff>
    </xdr:from>
    <xdr:to>
      <xdr:col>41</xdr:col>
      <xdr:colOff>84206</xdr:colOff>
      <xdr:row>109</xdr:row>
      <xdr:rowOff>50894</xdr:rowOff>
    </xdr:to>
    <xdr:pic>
      <xdr:nvPicPr>
        <xdr:cNvPr id="33" name="Рисунок 32">
          <a:extLst>
            <a:ext uri="{FF2B5EF4-FFF2-40B4-BE49-F238E27FC236}">
              <a16:creationId xmlns:a16="http://schemas.microsoft.com/office/drawing/2014/main" id="{FF561F39-443A-48CE-8014-5C61238AF7DC}"/>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4005882" y="8850797"/>
          <a:ext cx="593174" cy="801297"/>
        </a:xfrm>
        <a:prstGeom prst="rect">
          <a:avLst/>
        </a:prstGeom>
      </xdr:spPr>
    </xdr:pic>
    <xdr:clientData/>
  </xdr:twoCellAnchor>
  <xdr:twoCellAnchor editAs="oneCell">
    <xdr:from>
      <xdr:col>13</xdr:col>
      <xdr:colOff>42654</xdr:colOff>
      <xdr:row>103</xdr:row>
      <xdr:rowOff>15323</xdr:rowOff>
    </xdr:from>
    <xdr:to>
      <xdr:col>21</xdr:col>
      <xdr:colOff>14908</xdr:colOff>
      <xdr:row>108</xdr:row>
      <xdr:rowOff>84821</xdr:rowOff>
    </xdr:to>
    <xdr:pic>
      <xdr:nvPicPr>
        <xdr:cNvPr id="34" name="Рисунок 33">
          <a:extLst>
            <a:ext uri="{FF2B5EF4-FFF2-40B4-BE49-F238E27FC236}">
              <a16:creationId xmlns:a16="http://schemas.microsoft.com/office/drawing/2014/main" id="{3AB7FBA9-495F-4AFC-966D-0DA41CDFEBB9}"/>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1652379" y="12416873"/>
          <a:ext cx="1086679" cy="640998"/>
        </a:xfrm>
        <a:prstGeom prst="rect">
          <a:avLst/>
        </a:prstGeom>
      </xdr:spPr>
    </xdr:pic>
    <xdr:clientData/>
  </xdr:twoCellAnchor>
  <xdr:twoCellAnchor editAs="oneCell">
    <xdr:from>
      <xdr:col>2</xdr:col>
      <xdr:colOff>49695</xdr:colOff>
      <xdr:row>102</xdr:row>
      <xdr:rowOff>99393</xdr:rowOff>
    </xdr:from>
    <xdr:to>
      <xdr:col>8</xdr:col>
      <xdr:colOff>35891</xdr:colOff>
      <xdr:row>109</xdr:row>
      <xdr:rowOff>82256</xdr:rowOff>
    </xdr:to>
    <xdr:pic>
      <xdr:nvPicPr>
        <xdr:cNvPr id="35" name="Рисунок 34">
          <a:extLst>
            <a:ext uri="{FF2B5EF4-FFF2-40B4-BE49-F238E27FC236}">
              <a16:creationId xmlns:a16="http://schemas.microsoft.com/office/drawing/2014/main" id="{6ABBE728-B17D-4B93-A2A3-D44B92D34185}"/>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83045" y="8900493"/>
          <a:ext cx="843446" cy="782963"/>
        </a:xfrm>
        <a:prstGeom prst="rect">
          <a:avLst/>
        </a:prstGeom>
      </xdr:spPr>
    </xdr:pic>
    <xdr:clientData/>
  </xdr:twoCellAnchor>
  <xdr:twoCellAnchor editAs="oneCell">
    <xdr:from>
      <xdr:col>59</xdr:col>
      <xdr:colOff>31751</xdr:colOff>
      <xdr:row>48</xdr:row>
      <xdr:rowOff>55563</xdr:rowOff>
    </xdr:from>
    <xdr:to>
      <xdr:col>62</xdr:col>
      <xdr:colOff>48669</xdr:colOff>
      <xdr:row>57</xdr:row>
      <xdr:rowOff>71438</xdr:rowOff>
    </xdr:to>
    <xdr:pic>
      <xdr:nvPicPr>
        <xdr:cNvPr id="36" name="Рисунок 35">
          <a:extLst>
            <a:ext uri="{FF2B5EF4-FFF2-40B4-BE49-F238E27FC236}">
              <a16:creationId xmlns:a16="http://schemas.microsoft.com/office/drawing/2014/main" id="{A265395D-2461-4FA9-B800-996E662A96AF}"/>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6565901" y="5846763"/>
          <a:ext cx="397918" cy="1044575"/>
        </a:xfrm>
        <a:prstGeom prst="rect">
          <a:avLst/>
        </a:prstGeom>
      </xdr:spPr>
    </xdr:pic>
    <xdr:clientData/>
  </xdr:twoCellAnchor>
  <xdr:twoCellAnchor editAs="oneCell">
    <xdr:from>
      <xdr:col>2</xdr:col>
      <xdr:colOff>69854</xdr:colOff>
      <xdr:row>76</xdr:row>
      <xdr:rowOff>73301</xdr:rowOff>
    </xdr:from>
    <xdr:to>
      <xdr:col>10</xdr:col>
      <xdr:colOff>61718</xdr:colOff>
      <xdr:row>82</xdr:row>
      <xdr:rowOff>76200</xdr:rowOff>
    </xdr:to>
    <xdr:pic>
      <xdr:nvPicPr>
        <xdr:cNvPr id="44" name="Рисунок 43">
          <a:extLst>
            <a:ext uri="{FF2B5EF4-FFF2-40B4-BE49-F238E27FC236}">
              <a16:creationId xmlns:a16="http://schemas.microsoft.com/office/drawing/2014/main" id="{96EA2CC5-38CC-4A51-84B1-BB6D405DF144}"/>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03204" y="9226826"/>
          <a:ext cx="1077714" cy="688699"/>
        </a:xfrm>
        <a:prstGeom prst="rect">
          <a:avLst/>
        </a:prstGeom>
      </xdr:spPr>
    </xdr:pic>
    <xdr:clientData/>
  </xdr:twoCellAnchor>
  <xdr:twoCellAnchor editAs="oneCell">
    <xdr:from>
      <xdr:col>34</xdr:col>
      <xdr:colOff>49697</xdr:colOff>
      <xdr:row>77</xdr:row>
      <xdr:rowOff>41413</xdr:rowOff>
    </xdr:from>
    <xdr:to>
      <xdr:col>42</xdr:col>
      <xdr:colOff>47428</xdr:colOff>
      <xdr:row>82</xdr:row>
      <xdr:rowOff>0</xdr:rowOff>
    </xdr:to>
    <xdr:pic>
      <xdr:nvPicPr>
        <xdr:cNvPr id="45" name="Рисунок 44">
          <a:extLst>
            <a:ext uri="{FF2B5EF4-FFF2-40B4-BE49-F238E27FC236}">
              <a16:creationId xmlns:a16="http://schemas.microsoft.com/office/drawing/2014/main" id="{F0AA1C38-D045-4393-8575-FE2B3A1532A1}"/>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240697" y="9309238"/>
          <a:ext cx="1064531" cy="530087"/>
        </a:xfrm>
        <a:prstGeom prst="rect">
          <a:avLst/>
        </a:prstGeom>
      </xdr:spPr>
    </xdr:pic>
    <xdr:clientData/>
  </xdr:twoCellAnchor>
  <xdr:twoCellAnchor editAs="oneCell">
    <xdr:from>
      <xdr:col>46</xdr:col>
      <xdr:colOff>25677</xdr:colOff>
      <xdr:row>77</xdr:row>
      <xdr:rowOff>73301</xdr:rowOff>
    </xdr:from>
    <xdr:to>
      <xdr:col>53</xdr:col>
      <xdr:colOff>108778</xdr:colOff>
      <xdr:row>82</xdr:row>
      <xdr:rowOff>9525</xdr:rowOff>
    </xdr:to>
    <xdr:pic>
      <xdr:nvPicPr>
        <xdr:cNvPr id="46" name="Рисунок 45">
          <a:extLst>
            <a:ext uri="{FF2B5EF4-FFF2-40B4-BE49-F238E27FC236}">
              <a16:creationId xmlns:a16="http://schemas.microsoft.com/office/drawing/2014/main" id="{687DD7CA-38A9-4F73-88C0-8E1D6DAD09BA}"/>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5616852" y="9341126"/>
          <a:ext cx="1035601" cy="507724"/>
        </a:xfrm>
        <a:prstGeom prst="rect">
          <a:avLst/>
        </a:prstGeom>
      </xdr:spPr>
    </xdr:pic>
    <xdr:clientData/>
  </xdr:twoCellAnchor>
  <xdr:twoCellAnchor editAs="oneCell">
    <xdr:from>
      <xdr:col>58</xdr:col>
      <xdr:colOff>24849</xdr:colOff>
      <xdr:row>76</xdr:row>
      <xdr:rowOff>41413</xdr:rowOff>
    </xdr:from>
    <xdr:to>
      <xdr:col>63</xdr:col>
      <xdr:colOff>82274</xdr:colOff>
      <xdr:row>83</xdr:row>
      <xdr:rowOff>47625</xdr:rowOff>
    </xdr:to>
    <xdr:pic>
      <xdr:nvPicPr>
        <xdr:cNvPr id="47" name="Рисунок 46">
          <a:extLst>
            <a:ext uri="{FF2B5EF4-FFF2-40B4-BE49-F238E27FC236}">
              <a16:creationId xmlns:a16="http://schemas.microsoft.com/office/drawing/2014/main" id="{26C69D3D-9A15-46F4-9E1F-505CAB7B8F1B}"/>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7168599" y="9194938"/>
          <a:ext cx="790850" cy="806312"/>
        </a:xfrm>
        <a:prstGeom prst="rect">
          <a:avLst/>
        </a:prstGeom>
      </xdr:spPr>
    </xdr:pic>
    <xdr:clientData/>
  </xdr:twoCellAnchor>
  <xdr:twoCellAnchor editAs="oneCell">
    <xdr:from>
      <xdr:col>13</xdr:col>
      <xdr:colOff>66260</xdr:colOff>
      <xdr:row>77</xdr:row>
      <xdr:rowOff>57979</xdr:rowOff>
    </xdr:from>
    <xdr:to>
      <xdr:col>19</xdr:col>
      <xdr:colOff>101807</xdr:colOff>
      <xdr:row>82</xdr:row>
      <xdr:rowOff>19051</xdr:rowOff>
    </xdr:to>
    <xdr:pic>
      <xdr:nvPicPr>
        <xdr:cNvPr id="48" name="Рисунок 1">
          <a:extLst>
            <a:ext uri="{FF2B5EF4-FFF2-40B4-BE49-F238E27FC236}">
              <a16:creationId xmlns:a16="http://schemas.microsoft.com/office/drawing/2014/main" id="{57C14E5B-8268-431C-B858-3D4F8F0C1B9A}"/>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1675985" y="9325804"/>
          <a:ext cx="921372" cy="532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114299</xdr:colOff>
      <xdr:row>76</xdr:row>
      <xdr:rowOff>0</xdr:rowOff>
    </xdr:from>
    <xdr:to>
      <xdr:col>30</xdr:col>
      <xdr:colOff>111469</xdr:colOff>
      <xdr:row>82</xdr:row>
      <xdr:rowOff>95250</xdr:rowOff>
    </xdr:to>
    <xdr:pic>
      <xdr:nvPicPr>
        <xdr:cNvPr id="49" name="Рисунок 2">
          <a:extLst>
            <a:ext uri="{FF2B5EF4-FFF2-40B4-BE49-F238E27FC236}">
              <a16:creationId xmlns:a16="http://schemas.microsoft.com/office/drawing/2014/main" id="{022E63D0-BABE-4A77-970E-142E7CCEC479}"/>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flipH="1">
          <a:off x="2962274" y="9153525"/>
          <a:ext cx="94014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45</xdr:col>
      <xdr:colOff>41414</xdr:colOff>
      <xdr:row>90</xdr:row>
      <xdr:rowOff>91108</xdr:rowOff>
    </xdr:from>
    <xdr:ext cx="1047818" cy="482215"/>
    <xdr:pic>
      <xdr:nvPicPr>
        <xdr:cNvPr id="54" name="Рисунок 53">
          <a:extLst>
            <a:ext uri="{FF2B5EF4-FFF2-40B4-BE49-F238E27FC236}">
              <a16:creationId xmlns:a16="http://schemas.microsoft.com/office/drawing/2014/main" id="{2B5A670B-C655-4D82-8DD3-AD2E594C4792}"/>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861189" y="7853983"/>
          <a:ext cx="1047818" cy="482215"/>
        </a:xfrm>
        <a:prstGeom prst="rect">
          <a:avLst/>
        </a:prstGeom>
      </xdr:spPr>
    </xdr:pic>
    <xdr:clientData/>
  </xdr:oneCellAnchor>
  <xdr:oneCellAnchor>
    <xdr:from>
      <xdr:col>56</xdr:col>
      <xdr:colOff>49695</xdr:colOff>
      <xdr:row>90</xdr:row>
      <xdr:rowOff>107675</xdr:rowOff>
    </xdr:from>
    <xdr:ext cx="1076427" cy="472109"/>
    <xdr:pic>
      <xdr:nvPicPr>
        <xdr:cNvPr id="55" name="Рисунок 54">
          <a:extLst>
            <a:ext uri="{FF2B5EF4-FFF2-40B4-BE49-F238E27FC236}">
              <a16:creationId xmlns:a16="http://schemas.microsoft.com/office/drawing/2014/main" id="{913567B1-6A7A-44F8-A0E4-34A7D3041FCE}"/>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7307745" y="7870550"/>
          <a:ext cx="1076427" cy="472109"/>
        </a:xfrm>
        <a:prstGeom prst="rect">
          <a:avLst/>
        </a:prstGeom>
      </xdr:spPr>
    </xdr:pic>
    <xdr:clientData/>
  </xdr:oneCellAnchor>
  <xdr:oneCellAnchor>
    <xdr:from>
      <xdr:col>35</xdr:col>
      <xdr:colOff>94342</xdr:colOff>
      <xdr:row>90</xdr:row>
      <xdr:rowOff>7038</xdr:rowOff>
    </xdr:from>
    <xdr:ext cx="933254" cy="917127"/>
    <xdr:pic>
      <xdr:nvPicPr>
        <xdr:cNvPr id="56" name="Рисунок 55">
          <a:extLst>
            <a:ext uri="{FF2B5EF4-FFF2-40B4-BE49-F238E27FC236}">
              <a16:creationId xmlns:a16="http://schemas.microsoft.com/office/drawing/2014/main" id="{A5ED7D93-FED2-4A30-9EFA-3F8B1DEBAFF9}"/>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42542" y="10760763"/>
          <a:ext cx="933254" cy="917127"/>
        </a:xfrm>
        <a:prstGeom prst="rect">
          <a:avLst/>
        </a:prstGeom>
      </xdr:spPr>
    </xdr:pic>
    <xdr:clientData/>
  </xdr:oneCellAnchor>
  <xdr:twoCellAnchor editAs="oneCell">
    <xdr:from>
      <xdr:col>34</xdr:col>
      <xdr:colOff>82826</xdr:colOff>
      <xdr:row>62</xdr:row>
      <xdr:rowOff>82824</xdr:rowOff>
    </xdr:from>
    <xdr:to>
      <xdr:col>42</xdr:col>
      <xdr:colOff>31666</xdr:colOff>
      <xdr:row>69</xdr:row>
      <xdr:rowOff>41412</xdr:rowOff>
    </xdr:to>
    <xdr:pic>
      <xdr:nvPicPr>
        <xdr:cNvPr id="59" name="Рисунок 58">
          <a:extLst>
            <a:ext uri="{FF2B5EF4-FFF2-40B4-BE49-F238E27FC236}">
              <a16:creationId xmlns:a16="http://schemas.microsoft.com/office/drawing/2014/main" id="{FA686198-47D1-4EFE-98E3-7FCD65C1E764}"/>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6769376" y="1873524"/>
          <a:ext cx="1015640" cy="758688"/>
        </a:xfrm>
        <a:prstGeom prst="rect">
          <a:avLst/>
        </a:prstGeom>
      </xdr:spPr>
    </xdr:pic>
    <xdr:clientData/>
  </xdr:twoCellAnchor>
  <xdr:oneCellAnchor>
    <xdr:from>
      <xdr:col>34</xdr:col>
      <xdr:colOff>66261</xdr:colOff>
      <xdr:row>116</xdr:row>
      <xdr:rowOff>49696</xdr:rowOff>
    </xdr:from>
    <xdr:ext cx="1053548" cy="728140"/>
    <xdr:pic>
      <xdr:nvPicPr>
        <xdr:cNvPr id="60" name="Рисунок 59">
          <a:extLst>
            <a:ext uri="{FF2B5EF4-FFF2-40B4-BE49-F238E27FC236}">
              <a16:creationId xmlns:a16="http://schemas.microsoft.com/office/drawing/2014/main" id="{BDF4B98E-9EE2-44E9-83AB-7316D73F25A7}"/>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247736" y="1878496"/>
          <a:ext cx="1053548" cy="728140"/>
        </a:xfrm>
        <a:prstGeom prst="rect">
          <a:avLst/>
        </a:prstGeom>
      </xdr:spPr>
    </xdr:pic>
    <xdr:clientData/>
  </xdr:oneCellAnchor>
  <xdr:oneCellAnchor>
    <xdr:from>
      <xdr:col>1</xdr:col>
      <xdr:colOff>71438</xdr:colOff>
      <xdr:row>116</xdr:row>
      <xdr:rowOff>23813</xdr:rowOff>
    </xdr:from>
    <xdr:ext cx="1144587" cy="681316"/>
    <xdr:pic>
      <xdr:nvPicPr>
        <xdr:cNvPr id="61" name="Рисунок 60">
          <a:extLst>
            <a:ext uri="{FF2B5EF4-FFF2-40B4-BE49-F238E27FC236}">
              <a16:creationId xmlns:a16="http://schemas.microsoft.com/office/drawing/2014/main" id="{276313A1-7762-429B-B4BE-272137476A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90488" y="1852613"/>
          <a:ext cx="1144587" cy="681316"/>
        </a:xfrm>
        <a:prstGeom prst="rect">
          <a:avLst/>
        </a:prstGeom>
      </xdr:spPr>
    </xdr:pic>
    <xdr:clientData/>
  </xdr:oneCellAnchor>
  <xdr:oneCellAnchor>
    <xdr:from>
      <xdr:col>13</xdr:col>
      <xdr:colOff>7938</xdr:colOff>
      <xdr:row>115</xdr:row>
      <xdr:rowOff>79374</xdr:rowOff>
    </xdr:from>
    <xdr:ext cx="1274762" cy="952076"/>
    <xdr:pic>
      <xdr:nvPicPr>
        <xdr:cNvPr id="62" name="Рисунок 61">
          <a:extLst>
            <a:ext uri="{FF2B5EF4-FFF2-40B4-BE49-F238E27FC236}">
              <a16:creationId xmlns:a16="http://schemas.microsoft.com/office/drawing/2014/main" id="{0C3C7535-E137-463C-89A6-C437841AC9DD}"/>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436688" y="1793874"/>
          <a:ext cx="1274762" cy="952076"/>
        </a:xfrm>
        <a:prstGeom prst="rect">
          <a:avLst/>
        </a:prstGeom>
      </xdr:spPr>
    </xdr:pic>
    <xdr:clientData/>
  </xdr:oneCellAnchor>
  <xdr:oneCellAnchor>
    <xdr:from>
      <xdr:col>24</xdr:col>
      <xdr:colOff>31749</xdr:colOff>
      <xdr:row>115</xdr:row>
      <xdr:rowOff>95251</xdr:rowOff>
    </xdr:from>
    <xdr:ext cx="1022351" cy="723235"/>
    <xdr:pic>
      <xdr:nvPicPr>
        <xdr:cNvPr id="63" name="Рисунок 62">
          <a:extLst>
            <a:ext uri="{FF2B5EF4-FFF2-40B4-BE49-F238E27FC236}">
              <a16:creationId xmlns:a16="http://schemas.microsoft.com/office/drawing/2014/main" id="{813C1FC1-7EAE-40AB-9EDD-297E8AA38AD2}"/>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3022599" y="1809751"/>
          <a:ext cx="1022351" cy="723235"/>
        </a:xfrm>
        <a:prstGeom prst="rect">
          <a:avLst/>
        </a:prstGeom>
      </xdr:spPr>
    </xdr:pic>
    <xdr:clientData/>
  </xdr:oneCellAnchor>
  <xdr:oneCellAnchor>
    <xdr:from>
      <xdr:col>45</xdr:col>
      <xdr:colOff>7938</xdr:colOff>
      <xdr:row>116</xdr:row>
      <xdr:rowOff>23813</xdr:rowOff>
    </xdr:from>
    <xdr:ext cx="1230312" cy="835911"/>
    <xdr:pic>
      <xdr:nvPicPr>
        <xdr:cNvPr id="64" name="Рисунок 63">
          <a:extLst>
            <a:ext uri="{FF2B5EF4-FFF2-40B4-BE49-F238E27FC236}">
              <a16:creationId xmlns:a16="http://schemas.microsoft.com/office/drawing/2014/main" id="{3FA76150-C171-4587-A5E7-C0293F4E95A6}"/>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351463" y="1852613"/>
          <a:ext cx="1230312" cy="835911"/>
        </a:xfrm>
        <a:prstGeom prst="rect">
          <a:avLst/>
        </a:prstGeom>
      </xdr:spPr>
    </xdr:pic>
    <xdr:clientData/>
  </xdr:oneCellAnchor>
  <xdr:oneCellAnchor>
    <xdr:from>
      <xdr:col>57</xdr:col>
      <xdr:colOff>39688</xdr:colOff>
      <xdr:row>116</xdr:row>
      <xdr:rowOff>0</xdr:rowOff>
    </xdr:from>
    <xdr:ext cx="1039811" cy="789513"/>
    <xdr:pic>
      <xdr:nvPicPr>
        <xdr:cNvPr id="65" name="Рисунок 64">
          <a:extLst>
            <a:ext uri="{FF2B5EF4-FFF2-40B4-BE49-F238E27FC236}">
              <a16:creationId xmlns:a16="http://schemas.microsoft.com/office/drawing/2014/main" id="{03CCC32B-2C52-4384-A04E-3AC5E5BFAA6D}"/>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6840538" y="1828800"/>
          <a:ext cx="1039811" cy="789513"/>
        </a:xfrm>
        <a:prstGeom prst="rect">
          <a:avLst/>
        </a:prstGeom>
      </xdr:spPr>
    </xdr:pic>
    <xdr:clientData/>
  </xdr:oneCellAnchor>
  <xdr:twoCellAnchor editAs="oneCell">
    <xdr:from>
      <xdr:col>34</xdr:col>
      <xdr:colOff>45580</xdr:colOff>
      <xdr:row>129</xdr:row>
      <xdr:rowOff>74033</xdr:rowOff>
    </xdr:from>
    <xdr:to>
      <xdr:col>49</xdr:col>
      <xdr:colOff>53838</xdr:colOff>
      <xdr:row>129</xdr:row>
      <xdr:rowOff>876300</xdr:rowOff>
    </xdr:to>
    <xdr:pic>
      <xdr:nvPicPr>
        <xdr:cNvPr id="134" name="Рисунок 133">
          <a:extLst>
            <a:ext uri="{FF2B5EF4-FFF2-40B4-BE49-F238E27FC236}">
              <a16:creationId xmlns:a16="http://schemas.microsoft.com/office/drawing/2014/main" id="{A429C87F-8225-40A1-9EFA-393A134E0BA5}"/>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4579480" y="15342608"/>
          <a:ext cx="1913258" cy="8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29134</xdr:colOff>
      <xdr:row>130</xdr:row>
      <xdr:rowOff>15031</xdr:rowOff>
    </xdr:from>
    <xdr:to>
      <xdr:col>49</xdr:col>
      <xdr:colOff>49695</xdr:colOff>
      <xdr:row>130</xdr:row>
      <xdr:rowOff>819151</xdr:rowOff>
    </xdr:to>
    <xdr:pic>
      <xdr:nvPicPr>
        <xdr:cNvPr id="135" name="Рисунок 134">
          <a:extLst>
            <a:ext uri="{FF2B5EF4-FFF2-40B4-BE49-F238E27FC236}">
              <a16:creationId xmlns:a16="http://schemas.microsoft.com/office/drawing/2014/main" id="{C158BE78-ACC2-4F33-84D7-94E064528A6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4563034" y="16169431"/>
          <a:ext cx="1925561" cy="80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36980</xdr:colOff>
      <xdr:row>130</xdr:row>
      <xdr:rowOff>861391</xdr:rowOff>
    </xdr:from>
    <xdr:to>
      <xdr:col>49</xdr:col>
      <xdr:colOff>59220</xdr:colOff>
      <xdr:row>131</xdr:row>
      <xdr:rowOff>819150</xdr:rowOff>
    </xdr:to>
    <xdr:pic>
      <xdr:nvPicPr>
        <xdr:cNvPr id="136" name="Рисунок 135">
          <a:extLst>
            <a:ext uri="{FF2B5EF4-FFF2-40B4-BE49-F238E27FC236}">
              <a16:creationId xmlns:a16="http://schemas.microsoft.com/office/drawing/2014/main" id="{477208A6-A869-41EF-AD8E-1F1947765409}"/>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tretch>
          <a:fillRect/>
        </a:stretch>
      </xdr:blipFill>
      <xdr:spPr>
        <a:xfrm>
          <a:off x="4570880" y="17015791"/>
          <a:ext cx="1927240" cy="843584"/>
        </a:xfrm>
        <a:prstGeom prst="rect">
          <a:avLst/>
        </a:prstGeom>
      </xdr:spPr>
    </xdr:pic>
    <xdr:clientData/>
  </xdr:twoCellAnchor>
  <xdr:twoCellAnchor editAs="oneCell">
    <xdr:from>
      <xdr:col>34</xdr:col>
      <xdr:colOff>38659</xdr:colOff>
      <xdr:row>131</xdr:row>
      <xdr:rowOff>877958</xdr:rowOff>
    </xdr:from>
    <xdr:to>
      <xdr:col>49</xdr:col>
      <xdr:colOff>68745</xdr:colOff>
      <xdr:row>132</xdr:row>
      <xdr:rowOff>857250</xdr:rowOff>
    </xdr:to>
    <xdr:pic>
      <xdr:nvPicPr>
        <xdr:cNvPr id="137" name="Рисунок 136">
          <a:extLst>
            <a:ext uri="{FF2B5EF4-FFF2-40B4-BE49-F238E27FC236}">
              <a16:creationId xmlns:a16="http://schemas.microsoft.com/office/drawing/2014/main" id="{4E45C175-DD4C-4408-B871-D68F6DE17B64}"/>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a:xfrm>
          <a:off x="4572559" y="17918183"/>
          <a:ext cx="1935086" cy="865117"/>
        </a:xfrm>
        <a:prstGeom prst="rect">
          <a:avLst/>
        </a:prstGeom>
      </xdr:spPr>
    </xdr:pic>
    <xdr:clientData/>
  </xdr:twoCellAnchor>
  <xdr:twoCellAnchor editAs="oneCell">
    <xdr:from>
      <xdr:col>1</xdr:col>
      <xdr:colOff>19050</xdr:colOff>
      <xdr:row>130</xdr:row>
      <xdr:rowOff>24847</xdr:rowOff>
    </xdr:from>
    <xdr:to>
      <xdr:col>15</xdr:col>
      <xdr:colOff>76200</xdr:colOff>
      <xdr:row>130</xdr:row>
      <xdr:rowOff>866775</xdr:rowOff>
    </xdr:to>
    <xdr:pic>
      <xdr:nvPicPr>
        <xdr:cNvPr id="138" name="Рисунок 137">
          <a:extLst>
            <a:ext uri="{FF2B5EF4-FFF2-40B4-BE49-F238E27FC236}">
              <a16:creationId xmlns:a16="http://schemas.microsoft.com/office/drawing/2014/main" id="{7CF22FF3-E799-4895-A2CB-C74577C26334}"/>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8100" y="16179247"/>
          <a:ext cx="1876425" cy="841928"/>
        </a:xfrm>
        <a:prstGeom prst="rect">
          <a:avLst/>
        </a:prstGeom>
      </xdr:spPr>
    </xdr:pic>
    <xdr:clientData/>
  </xdr:twoCellAnchor>
  <xdr:twoCellAnchor editAs="oneCell">
    <xdr:from>
      <xdr:col>1</xdr:col>
      <xdr:colOff>8284</xdr:colOff>
      <xdr:row>131</xdr:row>
      <xdr:rowOff>0</xdr:rowOff>
    </xdr:from>
    <xdr:to>
      <xdr:col>15</xdr:col>
      <xdr:colOff>57150</xdr:colOff>
      <xdr:row>132</xdr:row>
      <xdr:rowOff>0</xdr:rowOff>
    </xdr:to>
    <xdr:pic>
      <xdr:nvPicPr>
        <xdr:cNvPr id="139" name="Рисунок 138">
          <a:extLst>
            <a:ext uri="{FF2B5EF4-FFF2-40B4-BE49-F238E27FC236}">
              <a16:creationId xmlns:a16="http://schemas.microsoft.com/office/drawing/2014/main" id="{A7C98943-1E65-451B-935F-E716A8E5DDD1}"/>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7334" y="17040225"/>
          <a:ext cx="1868141"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25676</xdr:colOff>
      <xdr:row>129</xdr:row>
      <xdr:rowOff>65849</xdr:rowOff>
    </xdr:from>
    <xdr:to>
      <xdr:col>15</xdr:col>
      <xdr:colOff>73715</xdr:colOff>
      <xdr:row>130</xdr:row>
      <xdr:rowOff>9525</xdr:rowOff>
    </xdr:to>
    <xdr:pic>
      <xdr:nvPicPr>
        <xdr:cNvPr id="140" name="Рисунок 139">
          <a:extLst>
            <a:ext uri="{FF2B5EF4-FFF2-40B4-BE49-F238E27FC236}">
              <a16:creationId xmlns:a16="http://schemas.microsoft.com/office/drawing/2014/main" id="{5AF6C2B0-C07D-4F1D-B2BD-6A4304C888C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4726" y="15334424"/>
          <a:ext cx="1867314" cy="829501"/>
        </a:xfrm>
        <a:prstGeom prst="rect">
          <a:avLst/>
        </a:prstGeom>
      </xdr:spPr>
    </xdr:pic>
    <xdr:clientData/>
  </xdr:twoCellAnchor>
  <xdr:twoCellAnchor editAs="oneCell">
    <xdr:from>
      <xdr:col>18</xdr:col>
      <xdr:colOff>27333</xdr:colOff>
      <xdr:row>129</xdr:row>
      <xdr:rowOff>66675</xdr:rowOff>
    </xdr:from>
    <xdr:to>
      <xdr:col>31</xdr:col>
      <xdr:colOff>95250</xdr:colOff>
      <xdr:row>129</xdr:row>
      <xdr:rowOff>857250</xdr:rowOff>
    </xdr:to>
    <xdr:pic>
      <xdr:nvPicPr>
        <xdr:cNvPr id="141" name="Рисунок 140">
          <a:extLst>
            <a:ext uri="{FF2B5EF4-FFF2-40B4-BE49-F238E27FC236}">
              <a16:creationId xmlns:a16="http://schemas.microsoft.com/office/drawing/2014/main" id="{3D619875-F6A4-44F0-B14C-B930C8526D8F}"/>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08558" y="15335250"/>
          <a:ext cx="1991967" cy="790575"/>
        </a:xfrm>
        <a:prstGeom prst="rect">
          <a:avLst/>
        </a:prstGeom>
      </xdr:spPr>
    </xdr:pic>
    <xdr:clientData/>
  </xdr:twoCellAnchor>
  <xdr:twoCellAnchor editAs="oneCell">
    <xdr:from>
      <xdr:col>18</xdr:col>
      <xdr:colOff>28575</xdr:colOff>
      <xdr:row>130</xdr:row>
      <xdr:rowOff>9526</xdr:rowOff>
    </xdr:from>
    <xdr:to>
      <xdr:col>31</xdr:col>
      <xdr:colOff>95250</xdr:colOff>
      <xdr:row>130</xdr:row>
      <xdr:rowOff>828675</xdr:rowOff>
    </xdr:to>
    <xdr:pic>
      <xdr:nvPicPr>
        <xdr:cNvPr id="142" name="Рисунок 141">
          <a:extLst>
            <a:ext uri="{FF2B5EF4-FFF2-40B4-BE49-F238E27FC236}">
              <a16:creationId xmlns:a16="http://schemas.microsoft.com/office/drawing/2014/main" id="{0C056C5B-9E01-4E84-8866-E249E06241D2}"/>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209800" y="16163926"/>
          <a:ext cx="1990725" cy="819149"/>
        </a:xfrm>
        <a:prstGeom prst="rect">
          <a:avLst/>
        </a:prstGeom>
      </xdr:spPr>
    </xdr:pic>
    <xdr:clientData/>
  </xdr:twoCellAnchor>
  <xdr:twoCellAnchor editAs="oneCell">
    <xdr:from>
      <xdr:col>1</xdr:col>
      <xdr:colOff>9526</xdr:colOff>
      <xdr:row>132</xdr:row>
      <xdr:rowOff>19050</xdr:rowOff>
    </xdr:from>
    <xdr:to>
      <xdr:col>15</xdr:col>
      <xdr:colOff>76201</xdr:colOff>
      <xdr:row>133</xdr:row>
      <xdr:rowOff>9524</xdr:rowOff>
    </xdr:to>
    <xdr:pic>
      <xdr:nvPicPr>
        <xdr:cNvPr id="143" name="Рисунок 142">
          <a:extLst>
            <a:ext uri="{FF2B5EF4-FFF2-40B4-BE49-F238E27FC236}">
              <a16:creationId xmlns:a16="http://schemas.microsoft.com/office/drawing/2014/main" id="{CF8C27E5-9D03-40F1-878B-BBFDB3549B4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576" y="17945100"/>
          <a:ext cx="1885950" cy="876299"/>
        </a:xfrm>
        <a:prstGeom prst="rect">
          <a:avLst/>
        </a:prstGeom>
      </xdr:spPr>
    </xdr:pic>
    <xdr:clientData/>
  </xdr:twoCellAnchor>
  <xdr:twoCellAnchor editAs="oneCell">
    <xdr:from>
      <xdr:col>1</xdr:col>
      <xdr:colOff>9526</xdr:colOff>
      <xdr:row>133</xdr:row>
      <xdr:rowOff>47625</xdr:rowOff>
    </xdr:from>
    <xdr:to>
      <xdr:col>15</xdr:col>
      <xdr:colOff>85725</xdr:colOff>
      <xdr:row>133</xdr:row>
      <xdr:rowOff>876300</xdr:rowOff>
    </xdr:to>
    <xdr:pic>
      <xdr:nvPicPr>
        <xdr:cNvPr id="144" name="Рисунок 143">
          <a:extLst>
            <a:ext uri="{FF2B5EF4-FFF2-40B4-BE49-F238E27FC236}">
              <a16:creationId xmlns:a16="http://schemas.microsoft.com/office/drawing/2014/main" id="{A50BE11F-3C03-4149-9EC6-E72EEDCF5922}"/>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8576" y="18859500"/>
          <a:ext cx="1895474" cy="828675"/>
        </a:xfrm>
        <a:prstGeom prst="rect">
          <a:avLst/>
        </a:prstGeom>
      </xdr:spPr>
    </xdr:pic>
    <xdr:clientData/>
  </xdr:twoCellAnchor>
  <xdr:twoCellAnchor editAs="oneCell">
    <xdr:from>
      <xdr:col>1</xdr:col>
      <xdr:colOff>19051</xdr:colOff>
      <xdr:row>134</xdr:row>
      <xdr:rowOff>9525</xdr:rowOff>
    </xdr:from>
    <xdr:to>
      <xdr:col>15</xdr:col>
      <xdr:colOff>85726</xdr:colOff>
      <xdr:row>134</xdr:row>
      <xdr:rowOff>838200</xdr:rowOff>
    </xdr:to>
    <xdr:pic>
      <xdr:nvPicPr>
        <xdr:cNvPr id="145" name="Рисунок 144">
          <a:extLst>
            <a:ext uri="{FF2B5EF4-FFF2-40B4-BE49-F238E27FC236}">
              <a16:creationId xmlns:a16="http://schemas.microsoft.com/office/drawing/2014/main" id="{1237DF1F-B7FA-4C75-92E6-7D1EF36EA437}"/>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8101" y="19707225"/>
          <a:ext cx="1885950" cy="828675"/>
        </a:xfrm>
        <a:prstGeom prst="rect">
          <a:avLst/>
        </a:prstGeom>
      </xdr:spPr>
    </xdr:pic>
    <xdr:clientData/>
  </xdr:twoCellAnchor>
  <xdr:twoCellAnchor editAs="oneCell">
    <xdr:from>
      <xdr:col>18</xdr:col>
      <xdr:colOff>28575</xdr:colOff>
      <xdr:row>130</xdr:row>
      <xdr:rowOff>857249</xdr:rowOff>
    </xdr:from>
    <xdr:to>
      <xdr:col>31</xdr:col>
      <xdr:colOff>86967</xdr:colOff>
      <xdr:row>131</xdr:row>
      <xdr:rowOff>828675</xdr:rowOff>
    </xdr:to>
    <xdr:pic>
      <xdr:nvPicPr>
        <xdr:cNvPr id="146" name="Рисунок 145">
          <a:extLst>
            <a:ext uri="{FF2B5EF4-FFF2-40B4-BE49-F238E27FC236}">
              <a16:creationId xmlns:a16="http://schemas.microsoft.com/office/drawing/2014/main" id="{19271193-FEBC-4A7D-8913-C0CED427364D}"/>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209800" y="17011649"/>
          <a:ext cx="1982442" cy="857251"/>
        </a:xfrm>
        <a:prstGeom prst="rect">
          <a:avLst/>
        </a:prstGeom>
      </xdr:spPr>
    </xdr:pic>
    <xdr:clientData/>
  </xdr:twoCellAnchor>
  <xdr:twoCellAnchor editAs="oneCell">
    <xdr:from>
      <xdr:col>18</xdr:col>
      <xdr:colOff>19050</xdr:colOff>
      <xdr:row>131</xdr:row>
      <xdr:rowOff>833643</xdr:rowOff>
    </xdr:from>
    <xdr:to>
      <xdr:col>31</xdr:col>
      <xdr:colOff>86967</xdr:colOff>
      <xdr:row>132</xdr:row>
      <xdr:rowOff>866775</xdr:rowOff>
    </xdr:to>
    <xdr:pic>
      <xdr:nvPicPr>
        <xdr:cNvPr id="147" name="Рисунок 146">
          <a:extLst>
            <a:ext uri="{FF2B5EF4-FFF2-40B4-BE49-F238E27FC236}">
              <a16:creationId xmlns:a16="http://schemas.microsoft.com/office/drawing/2014/main" id="{7B615BF3-2E5A-42AD-8087-98FD82674A3E}"/>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00275" y="17873868"/>
          <a:ext cx="1991967" cy="918957"/>
        </a:xfrm>
        <a:prstGeom prst="rect">
          <a:avLst/>
        </a:prstGeom>
      </xdr:spPr>
    </xdr:pic>
    <xdr:clientData/>
  </xdr:twoCellAnchor>
  <xdr:oneCellAnchor>
    <xdr:from>
      <xdr:col>35</xdr:col>
      <xdr:colOff>49697</xdr:colOff>
      <xdr:row>129</xdr:row>
      <xdr:rowOff>207064</xdr:rowOff>
    </xdr:from>
    <xdr:ext cx="1706218" cy="595864"/>
    <xdr:sp macro="" textlink="">
      <xdr:nvSpPr>
        <xdr:cNvPr id="148" name="TextBox 147">
          <a:extLst>
            <a:ext uri="{FF2B5EF4-FFF2-40B4-BE49-F238E27FC236}">
              <a16:creationId xmlns:a16="http://schemas.microsoft.com/office/drawing/2014/main" id="{241D6859-9CA2-4B3A-9102-CA2878E7DA1E}"/>
            </a:ext>
          </a:extLst>
        </xdr:cNvPr>
        <xdr:cNvSpPr txBox="1"/>
      </xdr:nvSpPr>
      <xdr:spPr>
        <a:xfrm>
          <a:off x="4231172" y="11351314"/>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Красный</a:t>
          </a:r>
          <a:br>
            <a:rPr lang="ru-RU" sz="1100"/>
          </a:br>
          <a:r>
            <a:rPr lang="ru-RU" sz="1100"/>
            <a:t>+30% к</a:t>
          </a:r>
          <a:r>
            <a:rPr lang="ru-RU" sz="1100" baseline="0"/>
            <a:t> стоимости изделия</a:t>
          </a:r>
          <a:endParaRPr lang="ru-RU" sz="1100"/>
        </a:p>
      </xdr:txBody>
    </xdr:sp>
    <xdr:clientData/>
  </xdr:oneCellAnchor>
  <xdr:oneCellAnchor>
    <xdr:from>
      <xdr:col>35</xdr:col>
      <xdr:colOff>3313</xdr:colOff>
      <xdr:row>130</xdr:row>
      <xdr:rowOff>177248</xdr:rowOff>
    </xdr:from>
    <xdr:ext cx="1706218" cy="595864"/>
    <xdr:sp macro="" textlink="">
      <xdr:nvSpPr>
        <xdr:cNvPr id="149" name="TextBox 148">
          <a:extLst>
            <a:ext uri="{FF2B5EF4-FFF2-40B4-BE49-F238E27FC236}">
              <a16:creationId xmlns:a16="http://schemas.microsoft.com/office/drawing/2014/main" id="{C2383EB6-0ABE-48FF-B2FF-2783AD8F26B7}"/>
            </a:ext>
          </a:extLst>
        </xdr:cNvPr>
        <xdr:cNvSpPr txBox="1"/>
      </xdr:nvSpPr>
      <xdr:spPr>
        <a:xfrm>
          <a:off x="4184788" y="12207323"/>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Синий</a:t>
          </a:r>
          <a:br>
            <a:rPr lang="ru-RU" sz="1100"/>
          </a:br>
          <a:r>
            <a:rPr lang="ru-RU" sz="1100"/>
            <a:t>+30% к</a:t>
          </a:r>
          <a:r>
            <a:rPr lang="ru-RU" sz="1100" baseline="0"/>
            <a:t> стоимости изделия</a:t>
          </a:r>
          <a:endParaRPr lang="ru-RU" sz="1100"/>
        </a:p>
      </xdr:txBody>
    </xdr:sp>
    <xdr:clientData/>
  </xdr:oneCellAnchor>
  <xdr:oneCellAnchor>
    <xdr:from>
      <xdr:col>35</xdr:col>
      <xdr:colOff>12568</xdr:colOff>
      <xdr:row>131</xdr:row>
      <xdr:rowOff>205529</xdr:rowOff>
    </xdr:from>
    <xdr:ext cx="1706218" cy="595864"/>
    <xdr:sp macro="" textlink="">
      <xdr:nvSpPr>
        <xdr:cNvPr id="150" name="TextBox 149">
          <a:extLst>
            <a:ext uri="{FF2B5EF4-FFF2-40B4-BE49-F238E27FC236}">
              <a16:creationId xmlns:a16="http://schemas.microsoft.com/office/drawing/2014/main" id="{5459BFDF-AB8D-4475-BE24-B46794566E9F}"/>
            </a:ext>
          </a:extLst>
        </xdr:cNvPr>
        <xdr:cNvSpPr txBox="1"/>
      </xdr:nvSpPr>
      <xdr:spPr>
        <a:xfrm>
          <a:off x="4194043" y="13121429"/>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Желтый</a:t>
          </a:r>
        </a:p>
        <a:p>
          <a:pPr algn="ctr"/>
          <a:r>
            <a:rPr lang="ru-RU" sz="1100"/>
            <a:t>+30% к</a:t>
          </a:r>
          <a:r>
            <a:rPr lang="ru-RU" sz="1100" baseline="0"/>
            <a:t> стоимости изделия</a:t>
          </a:r>
          <a:endParaRPr lang="ru-RU" sz="1100"/>
        </a:p>
      </xdr:txBody>
    </xdr:sp>
    <xdr:clientData/>
  </xdr:oneCellAnchor>
  <xdr:oneCellAnchor>
    <xdr:from>
      <xdr:col>35</xdr:col>
      <xdr:colOff>32448</xdr:colOff>
      <xdr:row>132</xdr:row>
      <xdr:rowOff>167430</xdr:rowOff>
    </xdr:from>
    <xdr:ext cx="1706218" cy="595864"/>
    <xdr:sp macro="" textlink="">
      <xdr:nvSpPr>
        <xdr:cNvPr id="151" name="TextBox 150">
          <a:extLst>
            <a:ext uri="{FF2B5EF4-FFF2-40B4-BE49-F238E27FC236}">
              <a16:creationId xmlns:a16="http://schemas.microsoft.com/office/drawing/2014/main" id="{F11C1169-238E-454D-BBA5-5C35EA27183F}"/>
            </a:ext>
          </a:extLst>
        </xdr:cNvPr>
        <xdr:cNvSpPr txBox="1"/>
      </xdr:nvSpPr>
      <xdr:spPr>
        <a:xfrm>
          <a:off x="4213923" y="13969155"/>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ru-RU" sz="1100" b="1"/>
            <a:t>Зеленый</a:t>
          </a:r>
          <a:br>
            <a:rPr lang="ru-RU" sz="1100"/>
          </a:br>
          <a:r>
            <a:rPr lang="ru-RU" sz="1100"/>
            <a:t>+30% к</a:t>
          </a:r>
          <a:r>
            <a:rPr lang="ru-RU" sz="1100" baseline="0"/>
            <a:t> стоимости изделия</a:t>
          </a:r>
          <a:endParaRPr lang="ru-RU" sz="1100"/>
        </a:p>
      </xdr:txBody>
    </xdr:sp>
    <xdr:clientData/>
  </xdr:oneCellAnchor>
  <xdr:twoCellAnchor editAs="oneCell">
    <xdr:from>
      <xdr:col>21</xdr:col>
      <xdr:colOff>165652</xdr:colOff>
      <xdr:row>133</xdr:row>
      <xdr:rowOff>207066</xdr:rowOff>
    </xdr:from>
    <xdr:to>
      <xdr:col>42</xdr:col>
      <xdr:colOff>59220</xdr:colOff>
      <xdr:row>134</xdr:row>
      <xdr:rowOff>857250</xdr:rowOff>
    </xdr:to>
    <xdr:pic>
      <xdr:nvPicPr>
        <xdr:cNvPr id="152" name="Рисунок 151">
          <a:extLst>
            <a:ext uri="{FF2B5EF4-FFF2-40B4-BE49-F238E27FC236}">
              <a16:creationId xmlns:a16="http://schemas.microsoft.com/office/drawing/2014/main" id="{762D1782-A0E6-46D7-A3E4-51A86A107728}"/>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9802" y="19018941"/>
          <a:ext cx="2770118" cy="1536009"/>
        </a:xfrm>
        <a:prstGeom prst="rect">
          <a:avLst/>
        </a:prstGeom>
      </xdr:spPr>
    </xdr:pic>
    <xdr:clientData/>
  </xdr:twoCellAnchor>
  <xdr:oneCellAnchor>
    <xdr:from>
      <xdr:col>6</xdr:col>
      <xdr:colOff>67091</xdr:colOff>
      <xdr:row>129</xdr:row>
      <xdr:rowOff>314326</xdr:rowOff>
    </xdr:from>
    <xdr:ext cx="1706218" cy="4953411"/>
    <xdr:sp macro="" textlink="">
      <xdr:nvSpPr>
        <xdr:cNvPr id="153" name="TextBox 152">
          <a:extLst>
            <a:ext uri="{FF2B5EF4-FFF2-40B4-BE49-F238E27FC236}">
              <a16:creationId xmlns:a16="http://schemas.microsoft.com/office/drawing/2014/main" id="{372D02EA-BCF4-4DF4-893E-2BC0DA89ADBF}"/>
            </a:ext>
          </a:extLst>
        </xdr:cNvPr>
        <xdr:cNvSpPr txBox="1"/>
      </xdr:nvSpPr>
      <xdr:spPr>
        <a:xfrm>
          <a:off x="705266" y="11458576"/>
          <a:ext cx="1706218" cy="495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ru-RU" sz="1100" b="1"/>
            <a:t>Бук</a:t>
          </a:r>
        </a:p>
        <a:p>
          <a:endParaRPr lang="ru-RU" sz="1100" b="1"/>
        </a:p>
        <a:p>
          <a:endParaRPr lang="ru-RU" sz="1100" b="1"/>
        </a:p>
        <a:p>
          <a:endParaRPr lang="ru-RU" sz="1100" b="1"/>
        </a:p>
        <a:p>
          <a:endParaRPr lang="ru-RU" sz="1100" b="1"/>
        </a:p>
        <a:p>
          <a:r>
            <a:rPr lang="ru-RU" sz="1100" b="1"/>
            <a:t>Пепельный</a:t>
          </a:r>
        </a:p>
        <a:p>
          <a:endParaRPr lang="ru-RU" sz="1100" b="1"/>
        </a:p>
        <a:p>
          <a:endParaRPr lang="ru-RU" sz="1100" b="1"/>
        </a:p>
        <a:p>
          <a:endParaRPr lang="ru-RU" sz="1100" b="1"/>
        </a:p>
        <a:p>
          <a:endParaRPr lang="ru-RU" sz="1100" b="1"/>
        </a:p>
        <a:p>
          <a:r>
            <a:rPr lang="ru-RU" sz="1100" b="1"/>
            <a:t>Ольха</a:t>
          </a:r>
        </a:p>
        <a:p>
          <a:endParaRPr lang="ru-RU" sz="1100" b="1"/>
        </a:p>
        <a:p>
          <a:endParaRPr lang="ru-RU" sz="1100" b="1"/>
        </a:p>
        <a:p>
          <a:endParaRPr lang="ru-RU" sz="1100" b="1"/>
        </a:p>
        <a:p>
          <a:endParaRPr lang="ru-RU" sz="1100" b="1"/>
        </a:p>
        <a:p>
          <a:endParaRPr lang="ru-RU" sz="1100" b="1"/>
        </a:p>
        <a:p>
          <a:r>
            <a:rPr lang="ru-RU" sz="1100" b="1"/>
            <a:t>Дуб</a:t>
          </a:r>
        </a:p>
        <a:p>
          <a:endParaRPr lang="ru-RU" sz="1100" b="1"/>
        </a:p>
        <a:p>
          <a:endParaRPr lang="ru-RU" sz="1100" b="1"/>
        </a:p>
        <a:p>
          <a:endParaRPr lang="ru-RU" sz="1100" b="1"/>
        </a:p>
        <a:p>
          <a:endParaRPr lang="ru-RU" sz="1100" b="1"/>
        </a:p>
        <a:p>
          <a:r>
            <a:rPr lang="ru-RU" sz="1100" b="1"/>
            <a:t>Орех</a:t>
          </a:r>
        </a:p>
        <a:p>
          <a:endParaRPr lang="ru-RU" sz="1100" b="1"/>
        </a:p>
        <a:p>
          <a:endParaRPr lang="ru-RU" sz="1100" b="1"/>
        </a:p>
        <a:p>
          <a:endParaRPr lang="ru-RU" sz="1100" b="1"/>
        </a:p>
        <a:p>
          <a:endParaRPr lang="ru-RU" sz="1100" b="1"/>
        </a:p>
        <a:p>
          <a:r>
            <a:rPr lang="ru-RU" sz="1100" b="1"/>
            <a:t>Вишня</a:t>
          </a:r>
        </a:p>
      </xdr:txBody>
    </xdr:sp>
    <xdr:clientData/>
  </xdr:oneCellAnchor>
  <xdr:oneCellAnchor>
    <xdr:from>
      <xdr:col>19</xdr:col>
      <xdr:colOff>82826</xdr:colOff>
      <xdr:row>129</xdr:row>
      <xdr:rowOff>306457</xdr:rowOff>
    </xdr:from>
    <xdr:ext cx="1532282" cy="3014870"/>
    <xdr:sp macro="" textlink="">
      <xdr:nvSpPr>
        <xdr:cNvPr id="154" name="TextBox 153">
          <a:extLst>
            <a:ext uri="{FF2B5EF4-FFF2-40B4-BE49-F238E27FC236}">
              <a16:creationId xmlns:a16="http://schemas.microsoft.com/office/drawing/2014/main" id="{2CEB539E-C8B4-4D38-87AE-827D3A24492C}"/>
            </a:ext>
          </a:extLst>
        </xdr:cNvPr>
        <xdr:cNvSpPr txBox="1"/>
      </xdr:nvSpPr>
      <xdr:spPr>
        <a:xfrm>
          <a:off x="2359301" y="11450707"/>
          <a:ext cx="1532282" cy="3014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100" b="1"/>
            <a:t>Ясень шимо светлый</a:t>
          </a:r>
        </a:p>
        <a:p>
          <a:endParaRPr lang="ru-RU" sz="1100" b="1"/>
        </a:p>
        <a:p>
          <a:endParaRPr lang="ru-RU" sz="1100" b="1"/>
        </a:p>
        <a:p>
          <a:endParaRPr lang="ru-RU" sz="1100" b="1"/>
        </a:p>
        <a:p>
          <a:endParaRPr lang="ru-RU" sz="1100" b="1"/>
        </a:p>
        <a:p>
          <a:r>
            <a:rPr lang="ru-RU" sz="1100" b="1"/>
            <a:t>Ясень шимо темный</a:t>
          </a:r>
        </a:p>
        <a:p>
          <a:endParaRPr lang="ru-RU" sz="1100" b="1"/>
        </a:p>
        <a:p>
          <a:endParaRPr lang="ru-RU" sz="1100" b="1"/>
        </a:p>
        <a:p>
          <a:endParaRPr lang="ru-RU" sz="1100" b="1"/>
        </a:p>
        <a:p>
          <a:endParaRPr lang="ru-RU" sz="1100" b="1"/>
        </a:p>
        <a:p>
          <a:r>
            <a:rPr lang="ru-RU" sz="1100" b="1"/>
            <a:t>           Яблоня</a:t>
          </a:r>
        </a:p>
        <a:p>
          <a:endParaRPr lang="ru-RU" sz="1100" b="1"/>
        </a:p>
        <a:p>
          <a:endParaRPr lang="ru-RU" sz="1100" b="1"/>
        </a:p>
        <a:p>
          <a:endParaRPr lang="ru-RU" sz="1100" b="1"/>
        </a:p>
        <a:p>
          <a:endParaRPr lang="ru-RU" sz="1100" b="1"/>
        </a:p>
        <a:p>
          <a:r>
            <a:rPr lang="ru-RU" sz="1100" b="1"/>
            <a:t>             </a:t>
          </a:r>
          <a:r>
            <a:rPr lang="ru-RU" sz="1100" b="1">
              <a:solidFill>
                <a:schemeClr val="bg1"/>
              </a:solidFill>
            </a:rPr>
            <a:t>Венге</a:t>
          </a:r>
        </a:p>
      </xdr:txBody>
    </xdr:sp>
    <xdr:clientData/>
  </xdr:oneCellAnchor>
  <xdr:twoCellAnchor editAs="oneCell">
    <xdr:from>
      <xdr:col>63</xdr:col>
      <xdr:colOff>95251</xdr:colOff>
      <xdr:row>0</xdr:row>
      <xdr:rowOff>638174</xdr:rowOff>
    </xdr:from>
    <xdr:to>
      <xdr:col>67</xdr:col>
      <xdr:colOff>233326</xdr:colOff>
      <xdr:row>1</xdr:row>
      <xdr:rowOff>32691</xdr:rowOff>
    </xdr:to>
    <xdr:pic>
      <xdr:nvPicPr>
        <xdr:cNvPr id="2" name="Рисунок 1">
          <a:extLst>
            <a:ext uri="{FF2B5EF4-FFF2-40B4-BE49-F238E27FC236}">
              <a16:creationId xmlns:a16="http://schemas.microsoft.com/office/drawing/2014/main" id="{2A4877DB-7399-4500-BF98-464BF68849E8}"/>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rot="20918134">
          <a:off x="8477251" y="638174"/>
          <a:ext cx="547650" cy="547042"/>
        </a:xfrm>
        <a:prstGeom prst="rect">
          <a:avLst/>
        </a:prstGeom>
      </xdr:spPr>
    </xdr:pic>
    <xdr:clientData/>
  </xdr:twoCellAnchor>
  <xdr:twoCellAnchor editAs="oneCell">
    <xdr:from>
      <xdr:col>16</xdr:col>
      <xdr:colOff>66675</xdr:colOff>
      <xdr:row>0</xdr:row>
      <xdr:rowOff>171450</xdr:rowOff>
    </xdr:from>
    <xdr:to>
      <xdr:col>43</xdr:col>
      <xdr:colOff>152400</xdr:colOff>
      <xdr:row>0</xdr:row>
      <xdr:rowOff>1038225</xdr:rowOff>
    </xdr:to>
    <xdr:pic>
      <xdr:nvPicPr>
        <xdr:cNvPr id="14" name="Рисунок 13">
          <a:extLst>
            <a:ext uri="{FF2B5EF4-FFF2-40B4-BE49-F238E27FC236}">
              <a16:creationId xmlns:a16="http://schemas.microsoft.com/office/drawing/2014/main" id="{8E33D588-7694-E6BF-CA8E-F5583BFCC69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2019300" y="171450"/>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30645</xdr:colOff>
      <xdr:row>7</xdr:row>
      <xdr:rowOff>120928</xdr:rowOff>
    </xdr:from>
    <xdr:to>
      <xdr:col>10</xdr:col>
      <xdr:colOff>74336</xdr:colOff>
      <xdr:row>14</xdr:row>
      <xdr:rowOff>113586</xdr:rowOff>
    </xdr:to>
    <xdr:pic>
      <xdr:nvPicPr>
        <xdr:cNvPr id="3" name="Рисунок 2">
          <a:extLst>
            <a:ext uri="{FF2B5EF4-FFF2-40B4-BE49-F238E27FC236}">
              <a16:creationId xmlns:a16="http://schemas.microsoft.com/office/drawing/2014/main" id="{064ECCBA-24C1-4459-B16D-DB2B4EE89A3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645" y="1911628"/>
          <a:ext cx="1072391" cy="859433"/>
        </a:xfrm>
        <a:prstGeom prst="rect">
          <a:avLst/>
        </a:prstGeom>
      </xdr:spPr>
    </xdr:pic>
    <xdr:clientData/>
  </xdr:twoCellAnchor>
  <xdr:twoCellAnchor editAs="oneCell">
    <xdr:from>
      <xdr:col>13</xdr:col>
      <xdr:colOff>33959</xdr:colOff>
      <xdr:row>7</xdr:row>
      <xdr:rowOff>87797</xdr:rowOff>
    </xdr:from>
    <xdr:to>
      <xdr:col>21</xdr:col>
      <xdr:colOff>78756</xdr:colOff>
      <xdr:row>14</xdr:row>
      <xdr:rowOff>85726</xdr:rowOff>
    </xdr:to>
    <xdr:pic>
      <xdr:nvPicPr>
        <xdr:cNvPr id="4" name="Рисунок 3">
          <a:extLst>
            <a:ext uri="{FF2B5EF4-FFF2-40B4-BE49-F238E27FC236}">
              <a16:creationId xmlns:a16="http://schemas.microsoft.com/office/drawing/2014/main" id="{1E85DF34-3BBB-4773-AD05-6F427EDAB50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10309" y="1878497"/>
          <a:ext cx="1111597" cy="864704"/>
        </a:xfrm>
        <a:prstGeom prst="rect">
          <a:avLst/>
        </a:prstGeom>
      </xdr:spPr>
    </xdr:pic>
    <xdr:clientData/>
  </xdr:twoCellAnchor>
  <xdr:twoCellAnchor editAs="oneCell">
    <xdr:from>
      <xdr:col>35</xdr:col>
      <xdr:colOff>10354</xdr:colOff>
      <xdr:row>8</xdr:row>
      <xdr:rowOff>15324</xdr:rowOff>
    </xdr:from>
    <xdr:to>
      <xdr:col>43</xdr:col>
      <xdr:colOff>146759</xdr:colOff>
      <xdr:row>14</xdr:row>
      <xdr:rowOff>161925</xdr:rowOff>
    </xdr:to>
    <xdr:pic>
      <xdr:nvPicPr>
        <xdr:cNvPr id="5" name="Рисунок 4">
          <a:extLst>
            <a:ext uri="{FF2B5EF4-FFF2-40B4-BE49-F238E27FC236}">
              <a16:creationId xmlns:a16="http://schemas.microsoft.com/office/drawing/2014/main" id="{F4160FD6-B404-4C5B-BA46-BBB790067D29}"/>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191829" y="2091774"/>
          <a:ext cx="1050805" cy="889551"/>
        </a:xfrm>
        <a:prstGeom prst="rect">
          <a:avLst/>
        </a:prstGeom>
      </xdr:spPr>
    </xdr:pic>
    <xdr:clientData/>
  </xdr:twoCellAnchor>
  <xdr:twoCellAnchor editAs="oneCell">
    <xdr:from>
      <xdr:col>45</xdr:col>
      <xdr:colOff>91107</xdr:colOff>
      <xdr:row>8</xdr:row>
      <xdr:rowOff>0</xdr:rowOff>
    </xdr:from>
    <xdr:to>
      <xdr:col>54</xdr:col>
      <xdr:colOff>48314</xdr:colOff>
      <xdr:row>14</xdr:row>
      <xdr:rowOff>129932</xdr:rowOff>
    </xdr:to>
    <xdr:pic>
      <xdr:nvPicPr>
        <xdr:cNvPr id="6" name="Рисунок 5">
          <a:extLst>
            <a:ext uri="{FF2B5EF4-FFF2-40B4-BE49-F238E27FC236}">
              <a16:creationId xmlns:a16="http://schemas.microsoft.com/office/drawing/2014/main" id="{127932DB-94C6-4A69-959E-70A4343ED95E}"/>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5310807" y="1533525"/>
          <a:ext cx="985907" cy="872882"/>
        </a:xfrm>
        <a:prstGeom prst="rect">
          <a:avLst/>
        </a:prstGeom>
      </xdr:spPr>
    </xdr:pic>
    <xdr:clientData/>
  </xdr:twoCellAnchor>
  <xdr:twoCellAnchor editAs="oneCell">
    <xdr:from>
      <xdr:col>56</xdr:col>
      <xdr:colOff>107674</xdr:colOff>
      <xdr:row>8</xdr:row>
      <xdr:rowOff>24850</xdr:rowOff>
    </xdr:from>
    <xdr:to>
      <xdr:col>65</xdr:col>
      <xdr:colOff>87452</xdr:colOff>
      <xdr:row>14</xdr:row>
      <xdr:rowOff>135918</xdr:rowOff>
    </xdr:to>
    <xdr:pic>
      <xdr:nvPicPr>
        <xdr:cNvPr id="7" name="Рисунок 6">
          <a:extLst>
            <a:ext uri="{FF2B5EF4-FFF2-40B4-BE49-F238E27FC236}">
              <a16:creationId xmlns:a16="http://schemas.microsoft.com/office/drawing/2014/main" id="{1F479D32-9160-4197-AC10-3DAD94A0D8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603724" y="1558375"/>
          <a:ext cx="1008478" cy="854018"/>
        </a:xfrm>
        <a:prstGeom prst="rect">
          <a:avLst/>
        </a:prstGeom>
      </xdr:spPr>
    </xdr:pic>
    <xdr:clientData/>
  </xdr:twoCellAnchor>
  <xdr:twoCellAnchor editAs="oneCell">
    <xdr:from>
      <xdr:col>1</xdr:col>
      <xdr:colOff>107674</xdr:colOff>
      <xdr:row>21</xdr:row>
      <xdr:rowOff>1</xdr:rowOff>
    </xdr:from>
    <xdr:to>
      <xdr:col>10</xdr:col>
      <xdr:colOff>21001</xdr:colOff>
      <xdr:row>28</xdr:row>
      <xdr:rowOff>147016</xdr:rowOff>
    </xdr:to>
    <xdr:pic>
      <xdr:nvPicPr>
        <xdr:cNvPr id="8" name="Рисунок 7">
          <a:extLst>
            <a:ext uri="{FF2B5EF4-FFF2-40B4-BE49-F238E27FC236}">
              <a16:creationId xmlns:a16="http://schemas.microsoft.com/office/drawing/2014/main" id="{FDCA6BB7-FFAE-4D1D-9608-80EE213A9F1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26724" y="3038476"/>
          <a:ext cx="942027" cy="1013790"/>
        </a:xfrm>
        <a:prstGeom prst="rect">
          <a:avLst/>
        </a:prstGeom>
      </xdr:spPr>
    </xdr:pic>
    <xdr:clientData/>
  </xdr:twoCellAnchor>
  <xdr:twoCellAnchor editAs="oneCell">
    <xdr:from>
      <xdr:col>24</xdr:col>
      <xdr:colOff>41413</xdr:colOff>
      <xdr:row>21</xdr:row>
      <xdr:rowOff>49695</xdr:rowOff>
    </xdr:from>
    <xdr:to>
      <xdr:col>32</xdr:col>
      <xdr:colOff>34027</xdr:colOff>
      <xdr:row>28</xdr:row>
      <xdr:rowOff>162556</xdr:rowOff>
    </xdr:to>
    <xdr:pic>
      <xdr:nvPicPr>
        <xdr:cNvPr id="9" name="Рисунок 8">
          <a:extLst>
            <a:ext uri="{FF2B5EF4-FFF2-40B4-BE49-F238E27FC236}">
              <a16:creationId xmlns:a16="http://schemas.microsoft.com/office/drawing/2014/main" id="{8ABA644C-D6D0-403D-BFCD-700208B43FB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927488" y="3088170"/>
          <a:ext cx="907014" cy="979636"/>
        </a:xfrm>
        <a:prstGeom prst="rect">
          <a:avLst/>
        </a:prstGeom>
      </xdr:spPr>
    </xdr:pic>
    <xdr:clientData/>
  </xdr:twoCellAnchor>
  <xdr:twoCellAnchor editAs="oneCell">
    <xdr:from>
      <xdr:col>34</xdr:col>
      <xdr:colOff>49698</xdr:colOff>
      <xdr:row>21</xdr:row>
      <xdr:rowOff>98565</xdr:rowOff>
    </xdr:from>
    <xdr:to>
      <xdr:col>43</xdr:col>
      <xdr:colOff>83547</xdr:colOff>
      <xdr:row>28</xdr:row>
      <xdr:rowOff>129624</xdr:rowOff>
    </xdr:to>
    <xdr:pic>
      <xdr:nvPicPr>
        <xdr:cNvPr id="10" name="Рисунок 9">
          <a:extLst>
            <a:ext uri="{FF2B5EF4-FFF2-40B4-BE49-F238E27FC236}">
              <a16:creationId xmlns:a16="http://schemas.microsoft.com/office/drawing/2014/main" id="{F8C5A262-5E24-4444-88FB-EFC7172835A2}"/>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3821598" y="3746640"/>
          <a:ext cx="1062549" cy="897834"/>
        </a:xfrm>
        <a:prstGeom prst="rect">
          <a:avLst/>
        </a:prstGeom>
      </xdr:spPr>
    </xdr:pic>
    <xdr:clientData/>
  </xdr:twoCellAnchor>
  <xdr:twoCellAnchor editAs="oneCell">
    <xdr:from>
      <xdr:col>45</xdr:col>
      <xdr:colOff>81585</xdr:colOff>
      <xdr:row>21</xdr:row>
      <xdr:rowOff>7871</xdr:rowOff>
    </xdr:from>
    <xdr:to>
      <xdr:col>54</xdr:col>
      <xdr:colOff>25835</xdr:colOff>
      <xdr:row>28</xdr:row>
      <xdr:rowOff>161513</xdr:rowOff>
    </xdr:to>
    <xdr:pic>
      <xdr:nvPicPr>
        <xdr:cNvPr id="11" name="Рисунок 10">
          <a:extLst>
            <a:ext uri="{FF2B5EF4-FFF2-40B4-BE49-F238E27FC236}">
              <a16:creationId xmlns:a16="http://schemas.microsoft.com/office/drawing/2014/main" id="{12C2079F-3482-48B7-9E42-CAD2737D1D3E}"/>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5110785" y="3655946"/>
          <a:ext cx="972950" cy="1020417"/>
        </a:xfrm>
        <a:prstGeom prst="rect">
          <a:avLst/>
        </a:prstGeom>
      </xdr:spPr>
    </xdr:pic>
    <xdr:clientData/>
  </xdr:twoCellAnchor>
  <xdr:twoCellAnchor editAs="oneCell">
    <xdr:from>
      <xdr:col>58</xdr:col>
      <xdr:colOff>5798</xdr:colOff>
      <xdr:row>21</xdr:row>
      <xdr:rowOff>36857</xdr:rowOff>
    </xdr:from>
    <xdr:to>
      <xdr:col>65</xdr:col>
      <xdr:colOff>174419</xdr:colOff>
      <xdr:row>28</xdr:row>
      <xdr:rowOff>193522</xdr:rowOff>
    </xdr:to>
    <xdr:pic>
      <xdr:nvPicPr>
        <xdr:cNvPr id="12" name="Рисунок 11">
          <a:extLst>
            <a:ext uri="{FF2B5EF4-FFF2-40B4-BE49-F238E27FC236}">
              <a16:creationId xmlns:a16="http://schemas.microsoft.com/office/drawing/2014/main" id="{3EAE1A17-1C2C-41FD-8E89-F9C8D7FA5356}"/>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87598" y="3703982"/>
          <a:ext cx="968721" cy="1023440"/>
        </a:xfrm>
        <a:prstGeom prst="rect">
          <a:avLst/>
        </a:prstGeom>
      </xdr:spPr>
    </xdr:pic>
    <xdr:clientData/>
  </xdr:twoCellAnchor>
  <xdr:twoCellAnchor editAs="oneCell">
    <xdr:from>
      <xdr:col>1</xdr:col>
      <xdr:colOff>15321</xdr:colOff>
      <xdr:row>35</xdr:row>
      <xdr:rowOff>65018</xdr:rowOff>
    </xdr:from>
    <xdr:to>
      <xdr:col>10</xdr:col>
      <xdr:colOff>82925</xdr:colOff>
      <xdr:row>41</xdr:row>
      <xdr:rowOff>105602</xdr:rowOff>
    </xdr:to>
    <xdr:pic>
      <xdr:nvPicPr>
        <xdr:cNvPr id="13" name="Рисунок 12">
          <a:extLst>
            <a:ext uri="{FF2B5EF4-FFF2-40B4-BE49-F238E27FC236}">
              <a16:creationId xmlns:a16="http://schemas.microsoft.com/office/drawing/2014/main" id="{E3DD6BF2-EB2B-4263-977C-85A9A1B329D7}"/>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5321" y="5570468"/>
          <a:ext cx="1096304" cy="783534"/>
        </a:xfrm>
        <a:prstGeom prst="rect">
          <a:avLst/>
        </a:prstGeom>
      </xdr:spPr>
    </xdr:pic>
    <xdr:clientData/>
  </xdr:twoCellAnchor>
  <xdr:twoCellAnchor editAs="oneCell">
    <xdr:from>
      <xdr:col>12</xdr:col>
      <xdr:colOff>96078</xdr:colOff>
      <xdr:row>35</xdr:row>
      <xdr:rowOff>56735</xdr:rowOff>
    </xdr:from>
    <xdr:to>
      <xdr:col>21</xdr:col>
      <xdr:colOff>51422</xdr:colOff>
      <xdr:row>41</xdr:row>
      <xdr:rowOff>126926</xdr:rowOff>
    </xdr:to>
    <xdr:pic>
      <xdr:nvPicPr>
        <xdr:cNvPr id="14" name="Рисунок 13">
          <a:extLst>
            <a:ext uri="{FF2B5EF4-FFF2-40B4-BE49-F238E27FC236}">
              <a16:creationId xmlns:a16="http://schemas.microsoft.com/office/drawing/2014/main" id="{1954B689-3419-4E7A-B580-477DC1EA618F}"/>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258128" y="5257385"/>
          <a:ext cx="1136444" cy="813141"/>
        </a:xfrm>
        <a:prstGeom prst="rect">
          <a:avLst/>
        </a:prstGeom>
      </xdr:spPr>
    </xdr:pic>
    <xdr:clientData/>
  </xdr:twoCellAnchor>
  <xdr:twoCellAnchor editAs="oneCell">
    <xdr:from>
      <xdr:col>24</xdr:col>
      <xdr:colOff>47625</xdr:colOff>
      <xdr:row>34</xdr:row>
      <xdr:rowOff>64190</xdr:rowOff>
    </xdr:from>
    <xdr:to>
      <xdr:col>31</xdr:col>
      <xdr:colOff>81654</xdr:colOff>
      <xdr:row>41</xdr:row>
      <xdr:rowOff>196217</xdr:rowOff>
    </xdr:to>
    <xdr:pic>
      <xdr:nvPicPr>
        <xdr:cNvPr id="15" name="Рисунок 14">
          <a:extLst>
            <a:ext uri="{FF2B5EF4-FFF2-40B4-BE49-F238E27FC236}">
              <a16:creationId xmlns:a16="http://schemas.microsoft.com/office/drawing/2014/main" id="{2BF958AA-D1D9-450B-83BD-EC6B1B3D931F}"/>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2676525" y="5445815"/>
          <a:ext cx="834129" cy="998802"/>
        </a:xfrm>
        <a:prstGeom prst="rect">
          <a:avLst/>
        </a:prstGeom>
      </xdr:spPr>
    </xdr:pic>
    <xdr:clientData/>
  </xdr:twoCellAnchor>
  <xdr:twoCellAnchor editAs="oneCell">
    <xdr:from>
      <xdr:col>36</xdr:col>
      <xdr:colOff>18637</xdr:colOff>
      <xdr:row>35</xdr:row>
      <xdr:rowOff>45969</xdr:rowOff>
    </xdr:from>
    <xdr:to>
      <xdr:col>43</xdr:col>
      <xdr:colOff>11570</xdr:colOff>
      <xdr:row>41</xdr:row>
      <xdr:rowOff>217418</xdr:rowOff>
    </xdr:to>
    <xdr:pic>
      <xdr:nvPicPr>
        <xdr:cNvPr id="16" name="Рисунок 15">
          <a:extLst>
            <a:ext uri="{FF2B5EF4-FFF2-40B4-BE49-F238E27FC236}">
              <a16:creationId xmlns:a16="http://schemas.microsoft.com/office/drawing/2014/main" id="{720A40D9-C96E-4154-88D0-CEBCCEBA88EF}"/>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4314412" y="5408544"/>
          <a:ext cx="793033" cy="914399"/>
        </a:xfrm>
        <a:prstGeom prst="rect">
          <a:avLst/>
        </a:prstGeom>
      </xdr:spPr>
    </xdr:pic>
    <xdr:clientData/>
  </xdr:twoCellAnchor>
  <xdr:twoCellAnchor editAs="oneCell">
    <xdr:from>
      <xdr:col>45</xdr:col>
      <xdr:colOff>49695</xdr:colOff>
      <xdr:row>35</xdr:row>
      <xdr:rowOff>61706</xdr:rowOff>
    </xdr:from>
    <xdr:to>
      <xdr:col>54</xdr:col>
      <xdr:colOff>56596</xdr:colOff>
      <xdr:row>41</xdr:row>
      <xdr:rowOff>130895</xdr:rowOff>
    </xdr:to>
    <xdr:pic>
      <xdr:nvPicPr>
        <xdr:cNvPr id="17" name="Рисунок 16">
          <a:extLst>
            <a:ext uri="{FF2B5EF4-FFF2-40B4-BE49-F238E27FC236}">
              <a16:creationId xmlns:a16="http://schemas.microsoft.com/office/drawing/2014/main" id="{7DB49128-D681-473C-BF4C-4108C03971F1}"/>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5440845" y="5424281"/>
          <a:ext cx="1035601" cy="812139"/>
        </a:xfrm>
        <a:prstGeom prst="rect">
          <a:avLst/>
        </a:prstGeom>
      </xdr:spPr>
    </xdr:pic>
    <xdr:clientData/>
  </xdr:twoCellAnchor>
  <xdr:twoCellAnchor editAs="oneCell">
    <xdr:from>
      <xdr:col>57</xdr:col>
      <xdr:colOff>30648</xdr:colOff>
      <xdr:row>35</xdr:row>
      <xdr:rowOff>61706</xdr:rowOff>
    </xdr:from>
    <xdr:to>
      <xdr:col>65</xdr:col>
      <xdr:colOff>170411</xdr:colOff>
      <xdr:row>41</xdr:row>
      <xdr:rowOff>135422</xdr:rowOff>
    </xdr:to>
    <xdr:pic>
      <xdr:nvPicPr>
        <xdr:cNvPr id="18" name="Рисунок 17">
          <a:extLst>
            <a:ext uri="{FF2B5EF4-FFF2-40B4-BE49-F238E27FC236}">
              <a16:creationId xmlns:a16="http://schemas.microsoft.com/office/drawing/2014/main" id="{A6639253-CEC7-49AC-92DF-24E9A567A326}"/>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6698148" y="5424281"/>
          <a:ext cx="1054163" cy="816666"/>
        </a:xfrm>
        <a:prstGeom prst="rect">
          <a:avLst/>
        </a:prstGeom>
      </xdr:spPr>
    </xdr:pic>
    <xdr:clientData/>
  </xdr:twoCellAnchor>
  <xdr:twoCellAnchor editAs="oneCell">
    <xdr:from>
      <xdr:col>23</xdr:col>
      <xdr:colOff>70817</xdr:colOff>
      <xdr:row>47</xdr:row>
      <xdr:rowOff>49696</xdr:rowOff>
    </xdr:from>
    <xdr:to>
      <xdr:col>32</xdr:col>
      <xdr:colOff>46867</xdr:colOff>
      <xdr:row>54</xdr:row>
      <xdr:rowOff>112873</xdr:rowOff>
    </xdr:to>
    <xdr:pic>
      <xdr:nvPicPr>
        <xdr:cNvPr id="19" name="Рисунок 18">
          <a:extLst>
            <a:ext uri="{FF2B5EF4-FFF2-40B4-BE49-F238E27FC236}">
              <a16:creationId xmlns:a16="http://schemas.microsoft.com/office/drawing/2014/main" id="{D35B89BC-6C97-4B9F-B07B-8EBA05E6FB6F}"/>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2671142" y="6764821"/>
          <a:ext cx="1004750" cy="929952"/>
        </a:xfrm>
        <a:prstGeom prst="rect">
          <a:avLst/>
        </a:prstGeom>
      </xdr:spPr>
    </xdr:pic>
    <xdr:clientData/>
  </xdr:twoCellAnchor>
  <xdr:twoCellAnchor editAs="oneCell">
    <xdr:from>
      <xdr:col>35</xdr:col>
      <xdr:colOff>67504</xdr:colOff>
      <xdr:row>47</xdr:row>
      <xdr:rowOff>12425</xdr:rowOff>
    </xdr:from>
    <xdr:to>
      <xdr:col>43</xdr:col>
      <xdr:colOff>67504</xdr:colOff>
      <xdr:row>55</xdr:row>
      <xdr:rowOff>45715</xdr:rowOff>
    </xdr:to>
    <xdr:pic>
      <xdr:nvPicPr>
        <xdr:cNvPr id="20" name="Рисунок 19">
          <a:extLst>
            <a:ext uri="{FF2B5EF4-FFF2-40B4-BE49-F238E27FC236}">
              <a16:creationId xmlns:a16="http://schemas.microsoft.com/office/drawing/2014/main" id="{524F8973-73A3-414D-8514-0F87992B953D}"/>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4248979" y="6889475"/>
          <a:ext cx="914400" cy="1023890"/>
        </a:xfrm>
        <a:prstGeom prst="rect">
          <a:avLst/>
        </a:prstGeom>
      </xdr:spPr>
    </xdr:pic>
    <xdr:clientData/>
  </xdr:twoCellAnchor>
  <xdr:twoCellAnchor editAs="oneCell">
    <xdr:from>
      <xdr:col>48</xdr:col>
      <xdr:colOff>7191</xdr:colOff>
      <xdr:row>47</xdr:row>
      <xdr:rowOff>4832</xdr:rowOff>
    </xdr:from>
    <xdr:to>
      <xdr:col>53</xdr:col>
      <xdr:colOff>56597</xdr:colOff>
      <xdr:row>55</xdr:row>
      <xdr:rowOff>38101</xdr:rowOff>
    </xdr:to>
    <xdr:pic>
      <xdr:nvPicPr>
        <xdr:cNvPr id="21" name="Рисунок 20">
          <a:extLst>
            <a:ext uri="{FF2B5EF4-FFF2-40B4-BE49-F238E27FC236}">
              <a16:creationId xmlns:a16="http://schemas.microsoft.com/office/drawing/2014/main" id="{D0687895-6B40-4FC7-A677-43569EAD6C77}"/>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5569791" y="6053207"/>
          <a:ext cx="620906" cy="1023869"/>
        </a:xfrm>
        <a:prstGeom prst="rect">
          <a:avLst/>
        </a:prstGeom>
      </xdr:spPr>
    </xdr:pic>
    <xdr:clientData/>
  </xdr:twoCellAnchor>
  <xdr:twoCellAnchor editAs="oneCell">
    <xdr:from>
      <xdr:col>57</xdr:col>
      <xdr:colOff>94626</xdr:colOff>
      <xdr:row>47</xdr:row>
      <xdr:rowOff>25884</xdr:rowOff>
    </xdr:from>
    <xdr:to>
      <xdr:col>65</xdr:col>
      <xdr:colOff>101946</xdr:colOff>
      <xdr:row>55</xdr:row>
      <xdr:rowOff>19051</xdr:rowOff>
    </xdr:to>
    <xdr:pic>
      <xdr:nvPicPr>
        <xdr:cNvPr id="22" name="Рисунок 21">
          <a:extLst>
            <a:ext uri="{FF2B5EF4-FFF2-40B4-BE49-F238E27FC236}">
              <a16:creationId xmlns:a16="http://schemas.microsoft.com/office/drawing/2014/main" id="{CF520977-6B25-4252-8903-A514F779B4C7}"/>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6704976" y="6074259"/>
          <a:ext cx="921720" cy="983767"/>
        </a:xfrm>
        <a:prstGeom prst="rect">
          <a:avLst/>
        </a:prstGeom>
      </xdr:spPr>
    </xdr:pic>
    <xdr:clientData/>
  </xdr:twoCellAnchor>
  <xdr:twoCellAnchor editAs="oneCell">
    <xdr:from>
      <xdr:col>15</xdr:col>
      <xdr:colOff>24183</xdr:colOff>
      <xdr:row>61</xdr:row>
      <xdr:rowOff>95249</xdr:rowOff>
    </xdr:from>
    <xdr:to>
      <xdr:col>19</xdr:col>
      <xdr:colOff>101243</xdr:colOff>
      <xdr:row>68</xdr:row>
      <xdr:rowOff>120097</xdr:rowOff>
    </xdr:to>
    <xdr:pic>
      <xdr:nvPicPr>
        <xdr:cNvPr id="23" name="Рисунок 22">
          <a:extLst>
            <a:ext uri="{FF2B5EF4-FFF2-40B4-BE49-F238E27FC236}">
              <a16:creationId xmlns:a16="http://schemas.microsoft.com/office/drawing/2014/main" id="{8D908260-AF42-405E-9BBA-CF7A022A7730}"/>
            </a:ext>
          </a:extLst>
        </xdr:cNvPr>
        <xdr:cNvPicPr>
          <a:picLocks noChangeAspect="1"/>
        </xdr:cNvPicPr>
      </xdr:nvPicPr>
      <xdr:blipFill rotWithShape="1">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529133" y="8420099"/>
          <a:ext cx="686660" cy="891623"/>
        </a:xfrm>
        <a:prstGeom prst="rect">
          <a:avLst/>
        </a:prstGeom>
      </xdr:spPr>
    </xdr:pic>
    <xdr:clientData/>
  </xdr:twoCellAnchor>
  <xdr:twoCellAnchor editAs="oneCell">
    <xdr:from>
      <xdr:col>13</xdr:col>
      <xdr:colOff>84068</xdr:colOff>
      <xdr:row>21</xdr:row>
      <xdr:rowOff>67293</xdr:rowOff>
    </xdr:from>
    <xdr:to>
      <xdr:col>21</xdr:col>
      <xdr:colOff>8282</xdr:colOff>
      <xdr:row>28</xdr:row>
      <xdr:rowOff>13577</xdr:rowOff>
    </xdr:to>
    <xdr:pic>
      <xdr:nvPicPr>
        <xdr:cNvPr id="32" name="Рисунок 31">
          <a:extLst>
            <a:ext uri="{FF2B5EF4-FFF2-40B4-BE49-F238E27FC236}">
              <a16:creationId xmlns:a16="http://schemas.microsoft.com/office/drawing/2014/main" id="{72C28059-0328-4EEC-AF8D-D75DDB1553C7}"/>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533525" y="3744771"/>
          <a:ext cx="1000953" cy="815958"/>
        </a:xfrm>
        <a:prstGeom prst="rect">
          <a:avLst/>
        </a:prstGeom>
      </xdr:spPr>
    </xdr:pic>
    <xdr:clientData/>
  </xdr:twoCellAnchor>
  <xdr:twoCellAnchor editAs="oneCell">
    <xdr:from>
      <xdr:col>14</xdr:col>
      <xdr:colOff>30232</xdr:colOff>
      <xdr:row>48</xdr:row>
      <xdr:rowOff>36858</xdr:rowOff>
    </xdr:from>
    <xdr:to>
      <xdr:col>21</xdr:col>
      <xdr:colOff>156198</xdr:colOff>
      <xdr:row>55</xdr:row>
      <xdr:rowOff>44726</xdr:rowOff>
    </xdr:to>
    <xdr:pic>
      <xdr:nvPicPr>
        <xdr:cNvPr id="33" name="Рисунок 32">
          <a:extLst>
            <a:ext uri="{FF2B5EF4-FFF2-40B4-BE49-F238E27FC236}">
              <a16:creationId xmlns:a16="http://schemas.microsoft.com/office/drawing/2014/main" id="{8A51A47F-1E8A-4378-9581-E033A4F5D7B2}"/>
            </a:ext>
          </a:extLst>
        </xdr:cNvPr>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582807" y="7037733"/>
          <a:ext cx="1078466" cy="874643"/>
        </a:xfrm>
        <a:prstGeom prst="rect">
          <a:avLst/>
        </a:prstGeom>
      </xdr:spPr>
    </xdr:pic>
    <xdr:clientData/>
  </xdr:twoCellAnchor>
  <xdr:twoCellAnchor editAs="oneCell">
    <xdr:from>
      <xdr:col>2</xdr:col>
      <xdr:colOff>19878</xdr:colOff>
      <xdr:row>48</xdr:row>
      <xdr:rowOff>51065</xdr:rowOff>
    </xdr:from>
    <xdr:to>
      <xdr:col>10</xdr:col>
      <xdr:colOff>176626</xdr:colOff>
      <xdr:row>55</xdr:row>
      <xdr:rowOff>57978</xdr:rowOff>
    </xdr:to>
    <xdr:pic>
      <xdr:nvPicPr>
        <xdr:cNvPr id="34" name="Рисунок 33">
          <a:extLst>
            <a:ext uri="{FF2B5EF4-FFF2-40B4-BE49-F238E27FC236}">
              <a16:creationId xmlns:a16="http://schemas.microsoft.com/office/drawing/2014/main" id="{5807C4E0-241A-47C1-992E-DF371C01FE78}"/>
            </a:ext>
          </a:extLst>
        </xdr:cNvPr>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0853" y="7051940"/>
          <a:ext cx="1071148" cy="873688"/>
        </a:xfrm>
        <a:prstGeom prst="rect">
          <a:avLst/>
        </a:prstGeom>
      </xdr:spPr>
    </xdr:pic>
    <xdr:clientData/>
  </xdr:twoCellAnchor>
  <xdr:twoCellAnchor editAs="oneCell">
    <xdr:from>
      <xdr:col>2</xdr:col>
      <xdr:colOff>55250</xdr:colOff>
      <xdr:row>62</xdr:row>
      <xdr:rowOff>66675</xdr:rowOff>
    </xdr:from>
    <xdr:to>
      <xdr:col>10</xdr:col>
      <xdr:colOff>19395</xdr:colOff>
      <xdr:row>68</xdr:row>
      <xdr:rowOff>106101</xdr:rowOff>
    </xdr:to>
    <xdr:pic>
      <xdr:nvPicPr>
        <xdr:cNvPr id="35" name="Рисунок 34">
          <a:extLst>
            <a:ext uri="{FF2B5EF4-FFF2-40B4-BE49-F238E27FC236}">
              <a16:creationId xmlns:a16="http://schemas.microsoft.com/office/drawing/2014/main" id="{D47E1CF6-6FAC-4515-B97D-C25A3E7BBE2C}"/>
            </a:ext>
          </a:extLst>
        </xdr:cNvPr>
        <xdr:cNvPicPr>
          <a:picLocks noChangeAspect="1"/>
        </xdr:cNvPicPr>
      </xdr:nvPicPr>
      <xdr:blipFill>
        <a:blip xmlns:r="http://schemas.openxmlformats.org/officeDocument/2006/relationships" r:embed="rId2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36225" y="8677275"/>
          <a:ext cx="878545" cy="782376"/>
        </a:xfrm>
        <a:prstGeom prst="rect">
          <a:avLst/>
        </a:prstGeom>
      </xdr:spPr>
    </xdr:pic>
    <xdr:clientData/>
  </xdr:twoCellAnchor>
  <xdr:twoCellAnchor editAs="oneCell">
    <xdr:from>
      <xdr:col>25</xdr:col>
      <xdr:colOff>61915</xdr:colOff>
      <xdr:row>61</xdr:row>
      <xdr:rowOff>104774</xdr:rowOff>
    </xdr:from>
    <xdr:to>
      <xdr:col>31</xdr:col>
      <xdr:colOff>4349</xdr:colOff>
      <xdr:row>68</xdr:row>
      <xdr:rowOff>104338</xdr:rowOff>
    </xdr:to>
    <xdr:pic>
      <xdr:nvPicPr>
        <xdr:cNvPr id="36" name="Рисунок 35">
          <a:extLst>
            <a:ext uri="{FF2B5EF4-FFF2-40B4-BE49-F238E27FC236}">
              <a16:creationId xmlns:a16="http://schemas.microsoft.com/office/drawing/2014/main" id="{19FE428E-6B19-4DBC-9614-EFA5E26125C8}"/>
            </a:ext>
          </a:extLst>
        </xdr:cNvPr>
        <xdr:cNvPicPr>
          <a:picLocks noChangeAspect="1"/>
        </xdr:cNvPicPr>
      </xdr:nvPicPr>
      <xdr:blipFill>
        <a:blip xmlns:r="http://schemas.openxmlformats.org/officeDocument/2006/relationships" r:embed="rId2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flipH="1">
          <a:off x="3100390" y="8591549"/>
          <a:ext cx="628234" cy="866339"/>
        </a:xfrm>
        <a:prstGeom prst="rect">
          <a:avLst/>
        </a:prstGeom>
      </xdr:spPr>
    </xdr:pic>
    <xdr:clientData/>
  </xdr:twoCellAnchor>
  <xdr:twoCellAnchor editAs="oneCell">
    <xdr:from>
      <xdr:col>37</xdr:col>
      <xdr:colOff>12646</xdr:colOff>
      <xdr:row>61</xdr:row>
      <xdr:rowOff>76200</xdr:rowOff>
    </xdr:from>
    <xdr:to>
      <xdr:col>42</xdr:col>
      <xdr:colOff>104773</xdr:colOff>
      <xdr:row>69</xdr:row>
      <xdr:rowOff>42864</xdr:rowOff>
    </xdr:to>
    <xdr:pic>
      <xdr:nvPicPr>
        <xdr:cNvPr id="37" name="Рисунок 36">
          <a:extLst>
            <a:ext uri="{FF2B5EF4-FFF2-40B4-BE49-F238E27FC236}">
              <a16:creationId xmlns:a16="http://schemas.microsoft.com/office/drawing/2014/main" id="{87039094-07D4-4D85-89A8-CCE20CAF295B}"/>
            </a:ext>
          </a:extLst>
        </xdr:cNvPr>
        <xdr:cNvPicPr>
          <a:picLocks noChangeAspect="1"/>
        </xdr:cNvPicPr>
      </xdr:nvPicPr>
      <xdr:blipFill>
        <a:blip xmlns:r="http://schemas.openxmlformats.org/officeDocument/2006/relationships" r:embed="rId2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flipH="1">
          <a:off x="4422721" y="8562975"/>
          <a:ext cx="663627" cy="957264"/>
        </a:xfrm>
        <a:prstGeom prst="rect">
          <a:avLst/>
        </a:prstGeom>
      </xdr:spPr>
    </xdr:pic>
    <xdr:clientData/>
  </xdr:twoCellAnchor>
  <xdr:twoCellAnchor editAs="oneCell">
    <xdr:from>
      <xdr:col>23</xdr:col>
      <xdr:colOff>109539</xdr:colOff>
      <xdr:row>8</xdr:row>
      <xdr:rowOff>47625</xdr:rowOff>
    </xdr:from>
    <xdr:to>
      <xdr:col>32</xdr:col>
      <xdr:colOff>152401</xdr:colOff>
      <xdr:row>14</xdr:row>
      <xdr:rowOff>123734</xdr:rowOff>
    </xdr:to>
    <xdr:pic>
      <xdr:nvPicPr>
        <xdr:cNvPr id="43" name="Рисунок 42">
          <a:extLst>
            <a:ext uri="{FF2B5EF4-FFF2-40B4-BE49-F238E27FC236}">
              <a16:creationId xmlns:a16="http://schemas.microsoft.com/office/drawing/2014/main" id="{98378A4D-3EC2-463A-B1E1-C882193A7187}"/>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2919414" y="2124075"/>
          <a:ext cx="1071562" cy="819059"/>
        </a:xfrm>
        <a:prstGeom prst="rect">
          <a:avLst/>
        </a:prstGeom>
      </xdr:spPr>
    </xdr:pic>
    <xdr:clientData/>
  </xdr:twoCellAnchor>
  <xdr:twoCellAnchor editAs="oneCell">
    <xdr:from>
      <xdr:col>47</xdr:col>
      <xdr:colOff>50800</xdr:colOff>
      <xdr:row>61</xdr:row>
      <xdr:rowOff>95250</xdr:rowOff>
    </xdr:from>
    <xdr:to>
      <xdr:col>53</xdr:col>
      <xdr:colOff>40634</xdr:colOff>
      <xdr:row>69</xdr:row>
      <xdr:rowOff>50626</xdr:rowOff>
    </xdr:to>
    <xdr:pic>
      <xdr:nvPicPr>
        <xdr:cNvPr id="44" name="Рисунок 43">
          <a:extLst>
            <a:ext uri="{FF2B5EF4-FFF2-40B4-BE49-F238E27FC236}">
              <a16:creationId xmlns:a16="http://schemas.microsoft.com/office/drawing/2014/main" id="{F0A00BE0-DA7D-4E89-A8E4-932FE380D00F}"/>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670550" y="8582025"/>
          <a:ext cx="675634" cy="945976"/>
        </a:xfrm>
        <a:prstGeom prst="rect">
          <a:avLst/>
        </a:prstGeom>
      </xdr:spPr>
    </xdr:pic>
    <xdr:clientData/>
  </xdr:twoCellAnchor>
  <xdr:twoCellAnchor editAs="oneCell">
    <xdr:from>
      <xdr:col>34</xdr:col>
      <xdr:colOff>45580</xdr:colOff>
      <xdr:row>84</xdr:row>
      <xdr:rowOff>74033</xdr:rowOff>
    </xdr:from>
    <xdr:to>
      <xdr:col>50</xdr:col>
      <xdr:colOff>63363</xdr:colOff>
      <xdr:row>84</xdr:row>
      <xdr:rowOff>880855</xdr:rowOff>
    </xdr:to>
    <xdr:pic>
      <xdr:nvPicPr>
        <xdr:cNvPr id="2" name="Рисунок 1">
          <a:extLst>
            <a:ext uri="{FF2B5EF4-FFF2-40B4-BE49-F238E27FC236}">
              <a16:creationId xmlns:a16="http://schemas.microsoft.com/office/drawing/2014/main" id="{CBF5C2AA-D185-7FAD-CE19-9B31031AD55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4145471" y="11255555"/>
          <a:ext cx="1931066" cy="806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29134</xdr:colOff>
      <xdr:row>85</xdr:row>
      <xdr:rowOff>15030</xdr:rowOff>
    </xdr:from>
    <xdr:to>
      <xdr:col>50</xdr:col>
      <xdr:colOff>59220</xdr:colOff>
      <xdr:row>85</xdr:row>
      <xdr:rowOff>828261</xdr:rowOff>
    </xdr:to>
    <xdr:pic>
      <xdr:nvPicPr>
        <xdr:cNvPr id="24" name="Рисунок 23">
          <a:extLst>
            <a:ext uri="{FF2B5EF4-FFF2-40B4-BE49-F238E27FC236}">
              <a16:creationId xmlns:a16="http://schemas.microsoft.com/office/drawing/2014/main" id="{40693C6F-330F-5C5D-2F2E-86F69BFE95CF}"/>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4129025" y="12082791"/>
          <a:ext cx="1943369" cy="813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36980</xdr:colOff>
      <xdr:row>85</xdr:row>
      <xdr:rowOff>861391</xdr:rowOff>
    </xdr:from>
    <xdr:to>
      <xdr:col>50</xdr:col>
      <xdr:colOff>68745</xdr:colOff>
      <xdr:row>86</xdr:row>
      <xdr:rowOff>836543</xdr:rowOff>
    </xdr:to>
    <xdr:pic>
      <xdr:nvPicPr>
        <xdr:cNvPr id="25" name="Рисунок 24">
          <a:extLst>
            <a:ext uri="{FF2B5EF4-FFF2-40B4-BE49-F238E27FC236}">
              <a16:creationId xmlns:a16="http://schemas.microsoft.com/office/drawing/2014/main" id="{DE71B085-585F-2C58-D378-D1B6FF67235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4136871" y="12929152"/>
          <a:ext cx="1945048" cy="861391"/>
        </a:xfrm>
        <a:prstGeom prst="rect">
          <a:avLst/>
        </a:prstGeom>
      </xdr:spPr>
    </xdr:pic>
    <xdr:clientData/>
  </xdr:twoCellAnchor>
  <xdr:twoCellAnchor editAs="oneCell">
    <xdr:from>
      <xdr:col>34</xdr:col>
      <xdr:colOff>38659</xdr:colOff>
      <xdr:row>86</xdr:row>
      <xdr:rowOff>877958</xdr:rowOff>
    </xdr:from>
    <xdr:to>
      <xdr:col>50</xdr:col>
      <xdr:colOff>78270</xdr:colOff>
      <xdr:row>87</xdr:row>
      <xdr:rowOff>819979</xdr:rowOff>
    </xdr:to>
    <xdr:pic>
      <xdr:nvPicPr>
        <xdr:cNvPr id="26" name="Рисунок 25">
          <a:extLst>
            <a:ext uri="{FF2B5EF4-FFF2-40B4-BE49-F238E27FC236}">
              <a16:creationId xmlns:a16="http://schemas.microsoft.com/office/drawing/2014/main" id="{59B90D0E-FFCF-34C8-4879-63829E41275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tretch>
          <a:fillRect/>
        </a:stretch>
      </xdr:blipFill>
      <xdr:spPr>
        <a:xfrm>
          <a:off x="4138550" y="13831958"/>
          <a:ext cx="1952894" cy="828260"/>
        </a:xfrm>
        <a:prstGeom prst="rect">
          <a:avLst/>
        </a:prstGeom>
      </xdr:spPr>
    </xdr:pic>
    <xdr:clientData/>
  </xdr:twoCellAnchor>
  <xdr:twoCellAnchor editAs="oneCell">
    <xdr:from>
      <xdr:col>1</xdr:col>
      <xdr:colOff>19050</xdr:colOff>
      <xdr:row>85</xdr:row>
      <xdr:rowOff>24847</xdr:rowOff>
    </xdr:from>
    <xdr:to>
      <xdr:col>17</xdr:col>
      <xdr:colOff>66675</xdr:colOff>
      <xdr:row>85</xdr:row>
      <xdr:rowOff>844825</xdr:rowOff>
    </xdr:to>
    <xdr:pic>
      <xdr:nvPicPr>
        <xdr:cNvPr id="29" name="Рисунок 28">
          <a:extLst>
            <a:ext uri="{FF2B5EF4-FFF2-40B4-BE49-F238E27FC236}">
              <a16:creationId xmlns:a16="http://schemas.microsoft.com/office/drawing/2014/main" id="{00D4EB76-AFC9-4225-B896-AFD3596DC1EA}"/>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85725" y="12054922"/>
          <a:ext cx="1876425" cy="819978"/>
        </a:xfrm>
        <a:prstGeom prst="rect">
          <a:avLst/>
        </a:prstGeom>
      </xdr:spPr>
    </xdr:pic>
    <xdr:clientData/>
  </xdr:twoCellAnchor>
  <xdr:twoCellAnchor editAs="oneCell">
    <xdr:from>
      <xdr:col>1</xdr:col>
      <xdr:colOff>8284</xdr:colOff>
      <xdr:row>86</xdr:row>
      <xdr:rowOff>0</xdr:rowOff>
    </xdr:from>
    <xdr:to>
      <xdr:col>17</xdr:col>
      <xdr:colOff>47625</xdr:colOff>
      <xdr:row>86</xdr:row>
      <xdr:rowOff>877956</xdr:rowOff>
    </xdr:to>
    <xdr:pic>
      <xdr:nvPicPr>
        <xdr:cNvPr id="31" name="Рисунок 30">
          <a:extLst>
            <a:ext uri="{FF2B5EF4-FFF2-40B4-BE49-F238E27FC236}">
              <a16:creationId xmlns:a16="http://schemas.microsoft.com/office/drawing/2014/main" id="{D3AF0DBC-546F-41BE-AB3F-645377FA79F7}"/>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74959" y="12915900"/>
          <a:ext cx="1868141" cy="877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25676</xdr:colOff>
      <xdr:row>84</xdr:row>
      <xdr:rowOff>65849</xdr:rowOff>
    </xdr:from>
    <xdr:to>
      <xdr:col>17</xdr:col>
      <xdr:colOff>64190</xdr:colOff>
      <xdr:row>84</xdr:row>
      <xdr:rowOff>857251</xdr:rowOff>
    </xdr:to>
    <xdr:pic>
      <xdr:nvPicPr>
        <xdr:cNvPr id="42" name="Рисунок 41">
          <a:extLst>
            <a:ext uri="{FF2B5EF4-FFF2-40B4-BE49-F238E27FC236}">
              <a16:creationId xmlns:a16="http://schemas.microsoft.com/office/drawing/2014/main" id="{6CB07E38-E848-28AE-2786-FF925D5B8D93}"/>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1937" y="11247371"/>
          <a:ext cx="1885536" cy="791402"/>
        </a:xfrm>
        <a:prstGeom prst="rect">
          <a:avLst/>
        </a:prstGeom>
      </xdr:spPr>
    </xdr:pic>
    <xdr:clientData/>
  </xdr:twoCellAnchor>
  <xdr:twoCellAnchor editAs="oneCell">
    <xdr:from>
      <xdr:col>18</xdr:col>
      <xdr:colOff>27333</xdr:colOff>
      <xdr:row>84</xdr:row>
      <xdr:rowOff>66675</xdr:rowOff>
    </xdr:from>
    <xdr:to>
      <xdr:col>32</xdr:col>
      <xdr:colOff>190500</xdr:colOff>
      <xdr:row>84</xdr:row>
      <xdr:rowOff>866775</xdr:rowOff>
    </xdr:to>
    <xdr:pic>
      <xdr:nvPicPr>
        <xdr:cNvPr id="46" name="Рисунок 45">
          <a:extLst>
            <a:ext uri="{FF2B5EF4-FFF2-40B4-BE49-F238E27FC236}">
              <a16:creationId xmlns:a16="http://schemas.microsoft.com/office/drawing/2014/main" id="{70089A6C-E3D6-F078-CF3F-91438326C43E}"/>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56572" y="11248197"/>
          <a:ext cx="2010189" cy="800100"/>
        </a:xfrm>
        <a:prstGeom prst="rect">
          <a:avLst/>
        </a:prstGeom>
      </xdr:spPr>
    </xdr:pic>
    <xdr:clientData/>
  </xdr:twoCellAnchor>
  <xdr:twoCellAnchor editAs="oneCell">
    <xdr:from>
      <xdr:col>18</xdr:col>
      <xdr:colOff>28575</xdr:colOff>
      <xdr:row>85</xdr:row>
      <xdr:rowOff>9526</xdr:rowOff>
    </xdr:from>
    <xdr:to>
      <xdr:col>32</xdr:col>
      <xdr:colOff>190500</xdr:colOff>
      <xdr:row>85</xdr:row>
      <xdr:rowOff>819150</xdr:rowOff>
    </xdr:to>
    <xdr:pic>
      <xdr:nvPicPr>
        <xdr:cNvPr id="47" name="Рисунок 46">
          <a:extLst>
            <a:ext uri="{FF2B5EF4-FFF2-40B4-BE49-F238E27FC236}">
              <a16:creationId xmlns:a16="http://schemas.microsoft.com/office/drawing/2014/main" id="{CE19FC17-879E-6DE9-B588-F148CC1087EB}"/>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057814" y="12077287"/>
          <a:ext cx="2008947" cy="809624"/>
        </a:xfrm>
        <a:prstGeom prst="rect">
          <a:avLst/>
        </a:prstGeom>
      </xdr:spPr>
    </xdr:pic>
    <xdr:clientData/>
  </xdr:twoCellAnchor>
  <xdr:twoCellAnchor editAs="oneCell">
    <xdr:from>
      <xdr:col>1</xdr:col>
      <xdr:colOff>9526</xdr:colOff>
      <xdr:row>87</xdr:row>
      <xdr:rowOff>19051</xdr:rowOff>
    </xdr:from>
    <xdr:to>
      <xdr:col>17</xdr:col>
      <xdr:colOff>66676</xdr:colOff>
      <xdr:row>88</xdr:row>
      <xdr:rowOff>19050</xdr:rowOff>
    </xdr:to>
    <xdr:pic>
      <xdr:nvPicPr>
        <xdr:cNvPr id="48" name="Рисунок 47">
          <a:extLst>
            <a:ext uri="{FF2B5EF4-FFF2-40B4-BE49-F238E27FC236}">
              <a16:creationId xmlns:a16="http://schemas.microsoft.com/office/drawing/2014/main" id="{8FC80632-ACF6-9AC9-14DF-0819A8AFA5AD}"/>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76201" y="13820776"/>
          <a:ext cx="1885950" cy="885824"/>
        </a:xfrm>
        <a:prstGeom prst="rect">
          <a:avLst/>
        </a:prstGeom>
      </xdr:spPr>
    </xdr:pic>
    <xdr:clientData/>
  </xdr:twoCellAnchor>
  <xdr:twoCellAnchor editAs="oneCell">
    <xdr:from>
      <xdr:col>1</xdr:col>
      <xdr:colOff>9526</xdr:colOff>
      <xdr:row>88</xdr:row>
      <xdr:rowOff>47625</xdr:rowOff>
    </xdr:from>
    <xdr:to>
      <xdr:col>17</xdr:col>
      <xdr:colOff>76200</xdr:colOff>
      <xdr:row>88</xdr:row>
      <xdr:rowOff>866775</xdr:rowOff>
    </xdr:to>
    <xdr:pic>
      <xdr:nvPicPr>
        <xdr:cNvPr id="49" name="Рисунок 48">
          <a:extLst>
            <a:ext uri="{FF2B5EF4-FFF2-40B4-BE49-F238E27FC236}">
              <a16:creationId xmlns:a16="http://schemas.microsoft.com/office/drawing/2014/main" id="{BCBD20BB-1C84-1F43-F7A2-C9ABD754AD2C}"/>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76201" y="14735175"/>
          <a:ext cx="1895474" cy="819150"/>
        </a:xfrm>
        <a:prstGeom prst="rect">
          <a:avLst/>
        </a:prstGeom>
      </xdr:spPr>
    </xdr:pic>
    <xdr:clientData/>
  </xdr:twoCellAnchor>
  <xdr:twoCellAnchor editAs="oneCell">
    <xdr:from>
      <xdr:col>1</xdr:col>
      <xdr:colOff>19051</xdr:colOff>
      <xdr:row>89</xdr:row>
      <xdr:rowOff>9525</xdr:rowOff>
    </xdr:from>
    <xdr:to>
      <xdr:col>17</xdr:col>
      <xdr:colOff>76201</xdr:colOff>
      <xdr:row>89</xdr:row>
      <xdr:rowOff>866775</xdr:rowOff>
    </xdr:to>
    <xdr:pic>
      <xdr:nvPicPr>
        <xdr:cNvPr id="50" name="Рисунок 49">
          <a:extLst>
            <a:ext uri="{FF2B5EF4-FFF2-40B4-BE49-F238E27FC236}">
              <a16:creationId xmlns:a16="http://schemas.microsoft.com/office/drawing/2014/main" id="{C842A74B-4C66-7E2B-B539-40AF1EF9A30A}"/>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85726" y="15582900"/>
          <a:ext cx="1885950" cy="857250"/>
        </a:xfrm>
        <a:prstGeom prst="rect">
          <a:avLst/>
        </a:prstGeom>
      </xdr:spPr>
    </xdr:pic>
    <xdr:clientData/>
  </xdr:twoCellAnchor>
  <xdr:twoCellAnchor editAs="oneCell">
    <xdr:from>
      <xdr:col>18</xdr:col>
      <xdr:colOff>28575</xdr:colOff>
      <xdr:row>85</xdr:row>
      <xdr:rowOff>857249</xdr:rowOff>
    </xdr:from>
    <xdr:to>
      <xdr:col>32</xdr:col>
      <xdr:colOff>182217</xdr:colOff>
      <xdr:row>86</xdr:row>
      <xdr:rowOff>819149</xdr:rowOff>
    </xdr:to>
    <xdr:pic>
      <xdr:nvPicPr>
        <xdr:cNvPr id="51" name="Рисунок 50">
          <a:extLst>
            <a:ext uri="{FF2B5EF4-FFF2-40B4-BE49-F238E27FC236}">
              <a16:creationId xmlns:a16="http://schemas.microsoft.com/office/drawing/2014/main" id="{0334D93A-E44A-2901-6C88-767E59B4A6DC}"/>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57814" y="12925010"/>
          <a:ext cx="2000664" cy="848139"/>
        </a:xfrm>
        <a:prstGeom prst="rect">
          <a:avLst/>
        </a:prstGeom>
      </xdr:spPr>
    </xdr:pic>
    <xdr:clientData/>
  </xdr:twoCellAnchor>
  <xdr:twoCellAnchor editAs="oneCell">
    <xdr:from>
      <xdr:col>18</xdr:col>
      <xdr:colOff>19050</xdr:colOff>
      <xdr:row>86</xdr:row>
      <xdr:rowOff>833643</xdr:rowOff>
    </xdr:from>
    <xdr:to>
      <xdr:col>32</xdr:col>
      <xdr:colOff>182217</xdr:colOff>
      <xdr:row>87</xdr:row>
      <xdr:rowOff>833643</xdr:rowOff>
    </xdr:to>
    <xdr:pic>
      <xdr:nvPicPr>
        <xdr:cNvPr id="52" name="Рисунок 51">
          <a:extLst>
            <a:ext uri="{FF2B5EF4-FFF2-40B4-BE49-F238E27FC236}">
              <a16:creationId xmlns:a16="http://schemas.microsoft.com/office/drawing/2014/main" id="{4CCA26FD-9D80-E8EE-1DD0-1B39636946EA}"/>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48289" y="13787643"/>
          <a:ext cx="2010189" cy="886239"/>
        </a:xfrm>
        <a:prstGeom prst="rect">
          <a:avLst/>
        </a:prstGeom>
      </xdr:spPr>
    </xdr:pic>
    <xdr:clientData/>
  </xdr:twoCellAnchor>
  <xdr:oneCellAnchor>
    <xdr:from>
      <xdr:col>35</xdr:col>
      <xdr:colOff>49697</xdr:colOff>
      <xdr:row>84</xdr:row>
      <xdr:rowOff>207064</xdr:rowOff>
    </xdr:from>
    <xdr:ext cx="1706218" cy="595864"/>
    <xdr:sp macro="" textlink="">
      <xdr:nvSpPr>
        <xdr:cNvPr id="53" name="TextBox 52">
          <a:extLst>
            <a:ext uri="{FF2B5EF4-FFF2-40B4-BE49-F238E27FC236}">
              <a16:creationId xmlns:a16="http://schemas.microsoft.com/office/drawing/2014/main" id="{81889F9F-74CD-E59E-CDB1-4219B90D3AF5}"/>
            </a:ext>
          </a:extLst>
        </xdr:cNvPr>
        <xdr:cNvSpPr txBox="1"/>
      </xdr:nvSpPr>
      <xdr:spPr>
        <a:xfrm>
          <a:off x="4265545" y="11388586"/>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Красный</a:t>
          </a:r>
          <a:br>
            <a:rPr lang="ru-RU" sz="1100"/>
          </a:br>
          <a:r>
            <a:rPr lang="ru-RU" sz="1100"/>
            <a:t>+30% к</a:t>
          </a:r>
          <a:r>
            <a:rPr lang="ru-RU" sz="1100" baseline="0"/>
            <a:t> стоимости изделия</a:t>
          </a:r>
          <a:endParaRPr lang="ru-RU" sz="1100"/>
        </a:p>
      </xdr:txBody>
    </xdr:sp>
    <xdr:clientData/>
  </xdr:oneCellAnchor>
  <xdr:oneCellAnchor>
    <xdr:from>
      <xdr:col>35</xdr:col>
      <xdr:colOff>3313</xdr:colOff>
      <xdr:row>85</xdr:row>
      <xdr:rowOff>177248</xdr:rowOff>
    </xdr:from>
    <xdr:ext cx="1706218" cy="595864"/>
    <xdr:sp macro="" textlink="">
      <xdr:nvSpPr>
        <xdr:cNvPr id="56" name="TextBox 55">
          <a:extLst>
            <a:ext uri="{FF2B5EF4-FFF2-40B4-BE49-F238E27FC236}">
              <a16:creationId xmlns:a16="http://schemas.microsoft.com/office/drawing/2014/main" id="{C5AA7782-8BFA-442C-A02C-4F22E4D63EC0}"/>
            </a:ext>
          </a:extLst>
        </xdr:cNvPr>
        <xdr:cNvSpPr txBox="1"/>
      </xdr:nvSpPr>
      <xdr:spPr>
        <a:xfrm>
          <a:off x="4219161" y="12245009"/>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Синий</a:t>
          </a:r>
          <a:br>
            <a:rPr lang="ru-RU" sz="1100"/>
          </a:br>
          <a:r>
            <a:rPr lang="ru-RU" sz="1100"/>
            <a:t>+30% к</a:t>
          </a:r>
          <a:r>
            <a:rPr lang="ru-RU" sz="1100" baseline="0"/>
            <a:t> стоимости изделия</a:t>
          </a:r>
          <a:endParaRPr lang="ru-RU" sz="1100"/>
        </a:p>
      </xdr:txBody>
    </xdr:sp>
    <xdr:clientData/>
  </xdr:oneCellAnchor>
  <xdr:oneCellAnchor>
    <xdr:from>
      <xdr:col>35</xdr:col>
      <xdr:colOff>12568</xdr:colOff>
      <xdr:row>86</xdr:row>
      <xdr:rowOff>205529</xdr:rowOff>
    </xdr:from>
    <xdr:ext cx="1706218" cy="595864"/>
    <xdr:sp macro="" textlink="">
      <xdr:nvSpPr>
        <xdr:cNvPr id="59" name="TextBox 58">
          <a:extLst>
            <a:ext uri="{FF2B5EF4-FFF2-40B4-BE49-F238E27FC236}">
              <a16:creationId xmlns:a16="http://schemas.microsoft.com/office/drawing/2014/main" id="{4D0CC79A-3782-455A-ADE2-EA99DF5C5F22}"/>
            </a:ext>
          </a:extLst>
        </xdr:cNvPr>
        <xdr:cNvSpPr txBox="1"/>
      </xdr:nvSpPr>
      <xdr:spPr>
        <a:xfrm>
          <a:off x="4228416" y="13159529"/>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ru-RU" sz="1100" b="1"/>
            <a:t>Желтый</a:t>
          </a:r>
        </a:p>
        <a:p>
          <a:pPr algn="ctr"/>
          <a:r>
            <a:rPr lang="ru-RU" sz="1100"/>
            <a:t>+30% к</a:t>
          </a:r>
          <a:r>
            <a:rPr lang="ru-RU" sz="1100" baseline="0"/>
            <a:t> стоимости изделия</a:t>
          </a:r>
          <a:endParaRPr lang="ru-RU" sz="1100"/>
        </a:p>
      </xdr:txBody>
    </xdr:sp>
    <xdr:clientData/>
  </xdr:oneCellAnchor>
  <xdr:oneCellAnchor>
    <xdr:from>
      <xdr:col>35</xdr:col>
      <xdr:colOff>32448</xdr:colOff>
      <xdr:row>87</xdr:row>
      <xdr:rowOff>167430</xdr:rowOff>
    </xdr:from>
    <xdr:ext cx="1706218" cy="595864"/>
    <xdr:sp macro="" textlink="">
      <xdr:nvSpPr>
        <xdr:cNvPr id="61" name="TextBox 60">
          <a:extLst>
            <a:ext uri="{FF2B5EF4-FFF2-40B4-BE49-F238E27FC236}">
              <a16:creationId xmlns:a16="http://schemas.microsoft.com/office/drawing/2014/main" id="{E4EC408F-1608-41E1-BE50-67064E1DE362}"/>
            </a:ext>
          </a:extLst>
        </xdr:cNvPr>
        <xdr:cNvSpPr txBox="1"/>
      </xdr:nvSpPr>
      <xdr:spPr>
        <a:xfrm>
          <a:off x="4248296" y="14007669"/>
          <a:ext cx="1706218" cy="5958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ru-RU" sz="1100" b="1"/>
            <a:t>Зеленый</a:t>
          </a:r>
          <a:br>
            <a:rPr lang="ru-RU" sz="1100"/>
          </a:br>
          <a:r>
            <a:rPr lang="ru-RU" sz="1100"/>
            <a:t>+30% к</a:t>
          </a:r>
          <a:r>
            <a:rPr lang="ru-RU" sz="1100" baseline="0"/>
            <a:t> стоимости изделия</a:t>
          </a:r>
          <a:endParaRPr lang="ru-RU" sz="1100"/>
        </a:p>
      </xdr:txBody>
    </xdr:sp>
    <xdr:clientData/>
  </xdr:oneCellAnchor>
  <xdr:twoCellAnchor editAs="oneCell">
    <xdr:from>
      <xdr:col>21</xdr:col>
      <xdr:colOff>165652</xdr:colOff>
      <xdr:row>88</xdr:row>
      <xdr:rowOff>207066</xdr:rowOff>
    </xdr:from>
    <xdr:to>
      <xdr:col>45</xdr:col>
      <xdr:colOff>49695</xdr:colOff>
      <xdr:row>89</xdr:row>
      <xdr:rowOff>869677</xdr:rowOff>
    </xdr:to>
    <xdr:pic>
      <xdr:nvPicPr>
        <xdr:cNvPr id="62" name="Рисунок 61">
          <a:extLst>
            <a:ext uri="{FF2B5EF4-FFF2-40B4-BE49-F238E27FC236}">
              <a16:creationId xmlns:a16="http://schemas.microsoft.com/office/drawing/2014/main" id="{E1584D61-818B-709F-DEB9-04EA1A299221}"/>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91848" y="14933544"/>
          <a:ext cx="2791238" cy="1548850"/>
        </a:xfrm>
        <a:prstGeom prst="rect">
          <a:avLst/>
        </a:prstGeom>
      </xdr:spPr>
    </xdr:pic>
    <xdr:clientData/>
  </xdr:twoCellAnchor>
  <xdr:oneCellAnchor>
    <xdr:from>
      <xdr:col>6</xdr:col>
      <xdr:colOff>67091</xdr:colOff>
      <xdr:row>84</xdr:row>
      <xdr:rowOff>314326</xdr:rowOff>
    </xdr:from>
    <xdr:ext cx="1706218" cy="4953411"/>
    <xdr:sp macro="" textlink="">
      <xdr:nvSpPr>
        <xdr:cNvPr id="64" name="TextBox 63">
          <a:extLst>
            <a:ext uri="{FF2B5EF4-FFF2-40B4-BE49-F238E27FC236}">
              <a16:creationId xmlns:a16="http://schemas.microsoft.com/office/drawing/2014/main" id="{6013442F-ED51-477F-B538-8A5DB0F6CCCA}"/>
            </a:ext>
          </a:extLst>
        </xdr:cNvPr>
        <xdr:cNvSpPr txBox="1"/>
      </xdr:nvSpPr>
      <xdr:spPr>
        <a:xfrm>
          <a:off x="713134" y="11495848"/>
          <a:ext cx="1706218" cy="495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ru-RU" sz="1100" b="1"/>
            <a:t>Бук</a:t>
          </a:r>
        </a:p>
        <a:p>
          <a:endParaRPr lang="ru-RU" sz="1100" b="1"/>
        </a:p>
        <a:p>
          <a:endParaRPr lang="ru-RU" sz="1100" b="1"/>
        </a:p>
        <a:p>
          <a:endParaRPr lang="ru-RU" sz="1100" b="1"/>
        </a:p>
        <a:p>
          <a:endParaRPr lang="ru-RU" sz="1100" b="1"/>
        </a:p>
        <a:p>
          <a:r>
            <a:rPr lang="ru-RU" sz="1100" b="1"/>
            <a:t>Пепельный</a:t>
          </a:r>
        </a:p>
        <a:p>
          <a:endParaRPr lang="ru-RU" sz="1100" b="1"/>
        </a:p>
        <a:p>
          <a:endParaRPr lang="ru-RU" sz="1100" b="1"/>
        </a:p>
        <a:p>
          <a:endParaRPr lang="ru-RU" sz="1100" b="1"/>
        </a:p>
        <a:p>
          <a:endParaRPr lang="ru-RU" sz="1100" b="1"/>
        </a:p>
        <a:p>
          <a:r>
            <a:rPr lang="ru-RU" sz="1100" b="1"/>
            <a:t>Ольха</a:t>
          </a:r>
        </a:p>
        <a:p>
          <a:endParaRPr lang="ru-RU" sz="1100" b="1"/>
        </a:p>
        <a:p>
          <a:endParaRPr lang="ru-RU" sz="1100" b="1"/>
        </a:p>
        <a:p>
          <a:endParaRPr lang="ru-RU" sz="1100" b="1"/>
        </a:p>
        <a:p>
          <a:endParaRPr lang="ru-RU" sz="1100" b="1"/>
        </a:p>
        <a:p>
          <a:endParaRPr lang="ru-RU" sz="1100" b="1"/>
        </a:p>
        <a:p>
          <a:r>
            <a:rPr lang="ru-RU" sz="1100" b="1"/>
            <a:t>Дуб</a:t>
          </a:r>
        </a:p>
        <a:p>
          <a:endParaRPr lang="ru-RU" sz="1100" b="1"/>
        </a:p>
        <a:p>
          <a:endParaRPr lang="ru-RU" sz="1100" b="1"/>
        </a:p>
        <a:p>
          <a:endParaRPr lang="ru-RU" sz="1100" b="1"/>
        </a:p>
        <a:p>
          <a:endParaRPr lang="ru-RU" sz="1100" b="1"/>
        </a:p>
        <a:p>
          <a:r>
            <a:rPr lang="ru-RU" sz="1100" b="1"/>
            <a:t>Орех</a:t>
          </a:r>
        </a:p>
        <a:p>
          <a:endParaRPr lang="ru-RU" sz="1100" b="1"/>
        </a:p>
        <a:p>
          <a:endParaRPr lang="ru-RU" sz="1100" b="1"/>
        </a:p>
        <a:p>
          <a:endParaRPr lang="ru-RU" sz="1100" b="1"/>
        </a:p>
        <a:p>
          <a:endParaRPr lang="ru-RU" sz="1100" b="1"/>
        </a:p>
        <a:p>
          <a:r>
            <a:rPr lang="ru-RU" sz="1100" b="1"/>
            <a:t>Вишня</a:t>
          </a:r>
        </a:p>
      </xdr:txBody>
    </xdr:sp>
    <xdr:clientData/>
  </xdr:oneCellAnchor>
  <xdr:oneCellAnchor>
    <xdr:from>
      <xdr:col>19</xdr:col>
      <xdr:colOff>82826</xdr:colOff>
      <xdr:row>84</xdr:row>
      <xdr:rowOff>306457</xdr:rowOff>
    </xdr:from>
    <xdr:ext cx="1532282" cy="3014870"/>
    <xdr:sp macro="" textlink="">
      <xdr:nvSpPr>
        <xdr:cNvPr id="65" name="TextBox 64">
          <a:extLst>
            <a:ext uri="{FF2B5EF4-FFF2-40B4-BE49-F238E27FC236}">
              <a16:creationId xmlns:a16="http://schemas.microsoft.com/office/drawing/2014/main" id="{B2AAC341-09AC-07D4-114E-CC06DB3C85D6}"/>
            </a:ext>
          </a:extLst>
        </xdr:cNvPr>
        <xdr:cNvSpPr txBox="1"/>
      </xdr:nvSpPr>
      <xdr:spPr>
        <a:xfrm>
          <a:off x="2377109" y="11487979"/>
          <a:ext cx="1532282" cy="3014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100" b="1"/>
            <a:t>Ясень шимо светлый</a:t>
          </a:r>
        </a:p>
        <a:p>
          <a:endParaRPr lang="ru-RU" sz="1100" b="1"/>
        </a:p>
        <a:p>
          <a:endParaRPr lang="ru-RU" sz="1100" b="1"/>
        </a:p>
        <a:p>
          <a:endParaRPr lang="ru-RU" sz="1100" b="1"/>
        </a:p>
        <a:p>
          <a:endParaRPr lang="ru-RU" sz="1100" b="1"/>
        </a:p>
        <a:p>
          <a:r>
            <a:rPr lang="ru-RU" sz="1100" b="1"/>
            <a:t>Ясень шимо темный</a:t>
          </a:r>
        </a:p>
        <a:p>
          <a:endParaRPr lang="ru-RU" sz="1100" b="1"/>
        </a:p>
        <a:p>
          <a:endParaRPr lang="ru-RU" sz="1100" b="1"/>
        </a:p>
        <a:p>
          <a:endParaRPr lang="ru-RU" sz="1100" b="1"/>
        </a:p>
        <a:p>
          <a:endParaRPr lang="ru-RU" sz="1100" b="1"/>
        </a:p>
        <a:p>
          <a:r>
            <a:rPr lang="ru-RU" sz="1100" b="1"/>
            <a:t>           Яблоня</a:t>
          </a:r>
        </a:p>
        <a:p>
          <a:endParaRPr lang="ru-RU" sz="1100" b="1"/>
        </a:p>
        <a:p>
          <a:endParaRPr lang="ru-RU" sz="1100" b="1"/>
        </a:p>
        <a:p>
          <a:endParaRPr lang="ru-RU" sz="1100" b="1"/>
        </a:p>
        <a:p>
          <a:endParaRPr lang="ru-RU" sz="1100" b="1"/>
        </a:p>
        <a:p>
          <a:r>
            <a:rPr lang="ru-RU" sz="1100" b="1"/>
            <a:t>             </a:t>
          </a:r>
          <a:r>
            <a:rPr lang="ru-RU" sz="1100" b="1">
              <a:solidFill>
                <a:schemeClr val="bg1"/>
              </a:solidFill>
            </a:rPr>
            <a:t>Венге</a:t>
          </a:r>
        </a:p>
      </xdr:txBody>
    </xdr:sp>
    <xdr:clientData/>
  </xdr:oneCellAnchor>
  <xdr:twoCellAnchor editAs="oneCell">
    <xdr:from>
      <xdr:col>65</xdr:col>
      <xdr:colOff>142874</xdr:colOff>
      <xdr:row>0</xdr:row>
      <xdr:rowOff>695326</xdr:rowOff>
    </xdr:from>
    <xdr:to>
      <xdr:col>68</xdr:col>
      <xdr:colOff>80924</xdr:colOff>
      <xdr:row>1</xdr:row>
      <xdr:rowOff>89843</xdr:rowOff>
    </xdr:to>
    <xdr:pic>
      <xdr:nvPicPr>
        <xdr:cNvPr id="27" name="Рисунок 26">
          <a:extLst>
            <a:ext uri="{FF2B5EF4-FFF2-40B4-BE49-F238E27FC236}">
              <a16:creationId xmlns:a16="http://schemas.microsoft.com/office/drawing/2014/main" id="{7CB53E96-0893-4933-9DA8-ED850D01A7F7}"/>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rot="20918134">
          <a:off x="7724774" y="695326"/>
          <a:ext cx="547650" cy="547042"/>
        </a:xfrm>
        <a:prstGeom prst="rect">
          <a:avLst/>
        </a:prstGeom>
      </xdr:spPr>
    </xdr:pic>
    <xdr:clientData/>
  </xdr:twoCellAnchor>
  <xdr:twoCellAnchor editAs="oneCell">
    <xdr:from>
      <xdr:col>1</xdr:col>
      <xdr:colOff>38101</xdr:colOff>
      <xdr:row>92</xdr:row>
      <xdr:rowOff>53061</xdr:rowOff>
    </xdr:from>
    <xdr:to>
      <xdr:col>28</xdr:col>
      <xdr:colOff>1</xdr:colOff>
      <xdr:row>92</xdr:row>
      <xdr:rowOff>1794368</xdr:rowOff>
    </xdr:to>
    <xdr:pic>
      <xdr:nvPicPr>
        <xdr:cNvPr id="28" name="Рисунок 27">
          <a:extLst>
            <a:ext uri="{FF2B5EF4-FFF2-40B4-BE49-F238E27FC236}">
              <a16:creationId xmlns:a16="http://schemas.microsoft.com/office/drawing/2014/main" id="{9376BAE6-4CEF-465B-9D7F-4446AA00662C}"/>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104776" y="16798011"/>
          <a:ext cx="3276600" cy="1741307"/>
        </a:xfrm>
        <a:prstGeom prst="rect">
          <a:avLst/>
        </a:prstGeom>
      </xdr:spPr>
    </xdr:pic>
    <xdr:clientData/>
  </xdr:twoCellAnchor>
  <xdr:twoCellAnchor editAs="oneCell">
    <xdr:from>
      <xdr:col>28</xdr:col>
      <xdr:colOff>40005</xdr:colOff>
      <xdr:row>92</xdr:row>
      <xdr:rowOff>47626</xdr:rowOff>
    </xdr:from>
    <xdr:to>
      <xdr:col>52</xdr:col>
      <xdr:colOff>61679</xdr:colOff>
      <xdr:row>92</xdr:row>
      <xdr:rowOff>1952625</xdr:rowOff>
    </xdr:to>
    <xdr:pic>
      <xdr:nvPicPr>
        <xdr:cNvPr id="30" name="Рисунок 29">
          <a:extLst>
            <a:ext uri="{FF2B5EF4-FFF2-40B4-BE49-F238E27FC236}">
              <a16:creationId xmlns:a16="http://schemas.microsoft.com/office/drawing/2014/main" id="{51A6D68D-42A2-49C3-BD85-1D010807DCE8}"/>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21380" y="16792576"/>
          <a:ext cx="2831549" cy="1904999"/>
        </a:xfrm>
        <a:prstGeom prst="rect">
          <a:avLst/>
        </a:prstGeom>
      </xdr:spPr>
    </xdr:pic>
    <xdr:clientData/>
  </xdr:twoCellAnchor>
  <xdr:twoCellAnchor editAs="oneCell">
    <xdr:from>
      <xdr:col>28</xdr:col>
      <xdr:colOff>34290</xdr:colOff>
      <xdr:row>92</xdr:row>
      <xdr:rowOff>1977110</xdr:rowOff>
    </xdr:from>
    <xdr:to>
      <xdr:col>52</xdr:col>
      <xdr:colOff>69765</xdr:colOff>
      <xdr:row>93</xdr:row>
      <xdr:rowOff>3028950</xdr:rowOff>
    </xdr:to>
    <xdr:pic>
      <xdr:nvPicPr>
        <xdr:cNvPr id="38" name="Рисунок 37">
          <a:extLst>
            <a:ext uri="{FF2B5EF4-FFF2-40B4-BE49-F238E27FC236}">
              <a16:creationId xmlns:a16="http://schemas.microsoft.com/office/drawing/2014/main" id="{8CE7926D-9E57-4589-94F3-F2413A6DB85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415665" y="18722060"/>
          <a:ext cx="2845350" cy="3061615"/>
        </a:xfrm>
        <a:prstGeom prst="rect">
          <a:avLst/>
        </a:prstGeom>
      </xdr:spPr>
    </xdr:pic>
    <xdr:clientData/>
  </xdr:twoCellAnchor>
  <xdr:twoCellAnchor editAs="oneCell">
    <xdr:from>
      <xdr:col>1</xdr:col>
      <xdr:colOff>28576</xdr:colOff>
      <xdr:row>92</xdr:row>
      <xdr:rowOff>1980921</xdr:rowOff>
    </xdr:from>
    <xdr:to>
      <xdr:col>27</xdr:col>
      <xdr:colOff>104775</xdr:colOff>
      <xdr:row>93</xdr:row>
      <xdr:rowOff>1657914</xdr:rowOff>
    </xdr:to>
    <xdr:pic>
      <xdr:nvPicPr>
        <xdr:cNvPr id="39" name="Рисунок 38">
          <a:extLst>
            <a:ext uri="{FF2B5EF4-FFF2-40B4-BE49-F238E27FC236}">
              <a16:creationId xmlns:a16="http://schemas.microsoft.com/office/drawing/2014/main" id="{DB0FA5DF-58F2-4DA9-8EFC-9D11EB28ABB4}"/>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95251" y="18725871"/>
          <a:ext cx="3276599" cy="1686768"/>
        </a:xfrm>
        <a:prstGeom prst="rect">
          <a:avLst/>
        </a:prstGeom>
      </xdr:spPr>
    </xdr:pic>
    <xdr:clientData/>
  </xdr:twoCellAnchor>
  <xdr:twoCellAnchor editAs="oneCell">
    <xdr:from>
      <xdr:col>13</xdr:col>
      <xdr:colOff>47625</xdr:colOff>
      <xdr:row>0</xdr:row>
      <xdr:rowOff>161925</xdr:rowOff>
    </xdr:from>
    <xdr:to>
      <xdr:col>43</xdr:col>
      <xdr:colOff>238125</xdr:colOff>
      <xdr:row>0</xdr:row>
      <xdr:rowOff>1028700</xdr:rowOff>
    </xdr:to>
    <xdr:pic>
      <xdr:nvPicPr>
        <xdr:cNvPr id="40" name="Рисунок 39">
          <a:extLst>
            <a:ext uri="{FF2B5EF4-FFF2-40B4-BE49-F238E27FC236}">
              <a16:creationId xmlns:a16="http://schemas.microsoft.com/office/drawing/2014/main" id="{01FD5C9E-3973-465A-8BF5-B02AD291A1C4}"/>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1485900" y="16192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1685925</xdr:colOff>
      <xdr:row>6</xdr:row>
      <xdr:rowOff>457200</xdr:rowOff>
    </xdr:from>
    <xdr:to>
      <xdr:col>3</xdr:col>
      <xdr:colOff>3038475</xdr:colOff>
      <xdr:row>6</xdr:row>
      <xdr:rowOff>1504950</xdr:rowOff>
    </xdr:to>
    <xdr:pic>
      <xdr:nvPicPr>
        <xdr:cNvPr id="10" name="Picture 9">
          <a:extLst>
            <a:ext uri="{FF2B5EF4-FFF2-40B4-BE49-F238E27FC236}">
              <a16:creationId xmlns:a16="http://schemas.microsoft.com/office/drawing/2014/main" id="{7ECCFDEC-998B-4E64-A0A2-91DAA466A347}"/>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460" t="13572" r="6064" b="7856"/>
        <a:stretch/>
      </xdr:blipFill>
      <xdr:spPr bwMode="auto">
        <a:xfrm>
          <a:off x="6686550" y="4267200"/>
          <a:ext cx="1352550" cy="10477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1314449</xdr:colOff>
      <xdr:row>7</xdr:row>
      <xdr:rowOff>333375</xdr:rowOff>
    </xdr:from>
    <xdr:to>
      <xdr:col>3</xdr:col>
      <xdr:colOff>3181893</xdr:colOff>
      <xdr:row>7</xdr:row>
      <xdr:rowOff>1695450</xdr:rowOff>
    </xdr:to>
    <xdr:pic>
      <xdr:nvPicPr>
        <xdr:cNvPr id="16" name="Picture 15">
          <a:extLst>
            <a:ext uri="{FF2B5EF4-FFF2-40B4-BE49-F238E27FC236}">
              <a16:creationId xmlns:a16="http://schemas.microsoft.com/office/drawing/2014/main" id="{91F8FCE3-B5B1-44BC-955B-60E100344D7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543674" y="4305300"/>
          <a:ext cx="1867444" cy="13620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762000</xdr:colOff>
      <xdr:row>11</xdr:row>
      <xdr:rowOff>190500</xdr:rowOff>
    </xdr:from>
    <xdr:to>
      <xdr:col>3</xdr:col>
      <xdr:colOff>2600325</xdr:colOff>
      <xdr:row>11</xdr:row>
      <xdr:rowOff>1885950</xdr:rowOff>
    </xdr:to>
    <xdr:pic>
      <xdr:nvPicPr>
        <xdr:cNvPr id="27" name="Picture 26">
          <a:extLst>
            <a:ext uri="{FF2B5EF4-FFF2-40B4-BE49-F238E27FC236}">
              <a16:creationId xmlns:a16="http://schemas.microsoft.com/office/drawing/2014/main" id="{7B3CE491-B8EF-4AC6-A8B6-FAAF03755002}"/>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762625" y="12563475"/>
          <a:ext cx="18383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1362073</xdr:colOff>
      <xdr:row>5</xdr:row>
      <xdr:rowOff>304800</xdr:rowOff>
    </xdr:from>
    <xdr:to>
      <xdr:col>4</xdr:col>
      <xdr:colOff>29117</xdr:colOff>
      <xdr:row>5</xdr:row>
      <xdr:rowOff>1695450</xdr:rowOff>
    </xdr:to>
    <xdr:pic>
      <xdr:nvPicPr>
        <xdr:cNvPr id="32" name="Picture 15">
          <a:extLst>
            <a:ext uri="{FF2B5EF4-FFF2-40B4-BE49-F238E27FC236}">
              <a16:creationId xmlns:a16="http://schemas.microsoft.com/office/drawing/2014/main" id="{929887DE-6335-4D36-A4DE-F8475C96A7F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362698" y="2209800"/>
          <a:ext cx="1867444" cy="13906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1638300</xdr:colOff>
      <xdr:row>8</xdr:row>
      <xdr:rowOff>533401</xdr:rowOff>
    </xdr:from>
    <xdr:to>
      <xdr:col>3</xdr:col>
      <xdr:colOff>3048000</xdr:colOff>
      <xdr:row>8</xdr:row>
      <xdr:rowOff>1448825</xdr:rowOff>
    </xdr:to>
    <xdr:pic>
      <xdr:nvPicPr>
        <xdr:cNvPr id="34" name="Picture 9">
          <a:extLst>
            <a:ext uri="{FF2B5EF4-FFF2-40B4-BE49-F238E27FC236}">
              <a16:creationId xmlns:a16="http://schemas.microsoft.com/office/drawing/2014/main" id="{AD93F6D2-DD78-4573-9C83-38A2EB28C0ED}"/>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5699" t="21118" r="5969" b="11179"/>
        <a:stretch/>
      </xdr:blipFill>
      <xdr:spPr bwMode="auto">
        <a:xfrm>
          <a:off x="6638925" y="7772401"/>
          <a:ext cx="1409700" cy="915424"/>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847724</xdr:colOff>
      <xdr:row>9</xdr:row>
      <xdr:rowOff>295276</xdr:rowOff>
    </xdr:from>
    <xdr:to>
      <xdr:col>3</xdr:col>
      <xdr:colOff>1762125</xdr:colOff>
      <xdr:row>9</xdr:row>
      <xdr:rowOff>1847850</xdr:rowOff>
    </xdr:to>
    <xdr:pic>
      <xdr:nvPicPr>
        <xdr:cNvPr id="35" name="Picture 22">
          <a:extLst>
            <a:ext uri="{FF2B5EF4-FFF2-40B4-BE49-F238E27FC236}">
              <a16:creationId xmlns:a16="http://schemas.microsoft.com/office/drawing/2014/main" id="{0A4A3E9C-C967-4CFD-ADD8-3675CD03351F}"/>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25806" r="22581" b="2977"/>
        <a:stretch/>
      </xdr:blipFill>
      <xdr:spPr bwMode="auto">
        <a:xfrm>
          <a:off x="5848349" y="9248776"/>
          <a:ext cx="914401" cy="1552574"/>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1400175</xdr:colOff>
      <xdr:row>141</xdr:row>
      <xdr:rowOff>123825</xdr:rowOff>
    </xdr:from>
    <xdr:to>
      <xdr:col>3</xdr:col>
      <xdr:colOff>981075</xdr:colOff>
      <xdr:row>151</xdr:row>
      <xdr:rowOff>9525</xdr:rowOff>
    </xdr:to>
    <xdr:pic>
      <xdr:nvPicPr>
        <xdr:cNvPr id="36" name="Picture 23">
          <a:extLst>
            <a:ext uri="{FF2B5EF4-FFF2-40B4-BE49-F238E27FC236}">
              <a16:creationId xmlns:a16="http://schemas.microsoft.com/office/drawing/2014/main" id="{05C7E83B-65CA-4E2E-A608-FDEE20AA564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914775" y="477107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1552575</xdr:colOff>
      <xdr:row>142</xdr:row>
      <xdr:rowOff>95250</xdr:rowOff>
    </xdr:from>
    <xdr:to>
      <xdr:col>3</xdr:col>
      <xdr:colOff>1133475</xdr:colOff>
      <xdr:row>151</xdr:row>
      <xdr:rowOff>161925</xdr:rowOff>
    </xdr:to>
    <xdr:pic>
      <xdr:nvPicPr>
        <xdr:cNvPr id="37" name="Picture 23">
          <a:extLst>
            <a:ext uri="{FF2B5EF4-FFF2-40B4-BE49-F238E27FC236}">
              <a16:creationId xmlns:a16="http://schemas.microsoft.com/office/drawing/2014/main" id="{31AE5C49-2B39-43F3-AFB9-DEBE4E35E5D4}"/>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67175" y="478631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1781175</xdr:colOff>
      <xdr:row>9</xdr:row>
      <xdr:rowOff>219075</xdr:rowOff>
    </xdr:from>
    <xdr:to>
      <xdr:col>3</xdr:col>
      <xdr:colOff>2732780</xdr:colOff>
      <xdr:row>9</xdr:row>
      <xdr:rowOff>1828800</xdr:rowOff>
    </xdr:to>
    <xdr:pic>
      <xdr:nvPicPr>
        <xdr:cNvPr id="38" name="Picture 23">
          <a:extLst>
            <a:ext uri="{FF2B5EF4-FFF2-40B4-BE49-F238E27FC236}">
              <a16:creationId xmlns:a16="http://schemas.microsoft.com/office/drawing/2014/main" id="{84A41580-F975-4CE9-8079-E0BC230A8B7D}"/>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23964" t="529" r="26728" b="3705"/>
        <a:stretch/>
      </xdr:blipFill>
      <xdr:spPr bwMode="auto">
        <a:xfrm>
          <a:off x="6781800" y="9172575"/>
          <a:ext cx="951605" cy="16097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4</xdr:col>
      <xdr:colOff>781051</xdr:colOff>
      <xdr:row>0</xdr:row>
      <xdr:rowOff>685802</xdr:rowOff>
    </xdr:from>
    <xdr:to>
      <xdr:col>5</xdr:col>
      <xdr:colOff>450744</xdr:colOff>
      <xdr:row>1</xdr:row>
      <xdr:rowOff>139673</xdr:rowOff>
    </xdr:to>
    <xdr:pic>
      <xdr:nvPicPr>
        <xdr:cNvPr id="40" name="Рисунок 39">
          <a:extLst>
            <a:ext uri="{FF2B5EF4-FFF2-40B4-BE49-F238E27FC236}">
              <a16:creationId xmlns:a16="http://schemas.microsoft.com/office/drawing/2014/main" id="{F36C944B-6052-4F74-9CF7-39BD91CB3AB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20918134">
          <a:off x="8982076" y="685802"/>
          <a:ext cx="545993" cy="606396"/>
        </a:xfrm>
        <a:prstGeom prst="rect">
          <a:avLst/>
        </a:prstGeom>
      </xdr:spPr>
    </xdr:pic>
    <xdr:clientData/>
  </xdr:twoCellAnchor>
  <xdr:twoCellAnchor editAs="oneCell">
    <xdr:from>
      <xdr:col>1</xdr:col>
      <xdr:colOff>1485900</xdr:colOff>
      <xdr:row>0</xdr:row>
      <xdr:rowOff>142875</xdr:rowOff>
    </xdr:from>
    <xdr:to>
      <xdr:col>3</xdr:col>
      <xdr:colOff>714375</xdr:colOff>
      <xdr:row>0</xdr:row>
      <xdr:rowOff>1009650</xdr:rowOff>
    </xdr:to>
    <xdr:pic>
      <xdr:nvPicPr>
        <xdr:cNvPr id="2" name="Рисунок 1">
          <a:extLst>
            <a:ext uri="{FF2B5EF4-FFF2-40B4-BE49-F238E27FC236}">
              <a16:creationId xmlns:a16="http://schemas.microsoft.com/office/drawing/2014/main" id="{2252030D-735D-45DF-8306-1BD3D222653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866900" y="14287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12</xdr:row>
      <xdr:rowOff>28575</xdr:rowOff>
    </xdr:from>
    <xdr:to>
      <xdr:col>3</xdr:col>
      <xdr:colOff>1143000</xdr:colOff>
      <xdr:row>35</xdr:row>
      <xdr:rowOff>76200</xdr:rowOff>
    </xdr:to>
    <xdr:pic>
      <xdr:nvPicPr>
        <xdr:cNvPr id="3" name="Рисунок 2">
          <a:extLst>
            <a:ext uri="{FF2B5EF4-FFF2-40B4-BE49-F238E27FC236}">
              <a16:creationId xmlns:a16="http://schemas.microsoft.com/office/drawing/2014/main" id="{1C0FF39A-627B-31E4-6E87-69DCE62A1A1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7625" y="14401800"/>
          <a:ext cx="609600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35</xdr:row>
      <xdr:rowOff>142874</xdr:rowOff>
    </xdr:from>
    <xdr:to>
      <xdr:col>3</xdr:col>
      <xdr:colOff>1133475</xdr:colOff>
      <xdr:row>59</xdr:row>
      <xdr:rowOff>1307</xdr:rowOff>
    </xdr:to>
    <xdr:pic>
      <xdr:nvPicPr>
        <xdr:cNvPr id="4" name="Рисунок 3">
          <a:extLst>
            <a:ext uri="{FF2B5EF4-FFF2-40B4-BE49-F238E27FC236}">
              <a16:creationId xmlns:a16="http://schemas.microsoft.com/office/drawing/2014/main" id="{68E011F9-C59B-EEC4-FE5C-24A933FEA6A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57150" y="18678524"/>
          <a:ext cx="6076950" cy="4201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1171575</xdr:colOff>
      <xdr:row>10</xdr:row>
      <xdr:rowOff>38099</xdr:rowOff>
    </xdr:from>
    <xdr:to>
      <xdr:col>3</xdr:col>
      <xdr:colOff>2271147</xdr:colOff>
      <xdr:row>10</xdr:row>
      <xdr:rowOff>1362074</xdr:rowOff>
    </xdr:to>
    <xdr:pic>
      <xdr:nvPicPr>
        <xdr:cNvPr id="5" name="Picture 24">
          <a:extLst>
            <a:ext uri="{FF2B5EF4-FFF2-40B4-BE49-F238E27FC236}">
              <a16:creationId xmlns:a16="http://schemas.microsoft.com/office/drawing/2014/main" id="{5CC22544-CCC5-41E3-8A59-376EC979AEF1}"/>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l="20710" t="8450" r="21302" b="8450"/>
        <a:stretch/>
      </xdr:blipFill>
      <xdr:spPr bwMode="auto">
        <a:xfrm>
          <a:off x="6172200" y="10982324"/>
          <a:ext cx="1099572" cy="13239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342899</xdr:colOff>
      <xdr:row>5</xdr:row>
      <xdr:rowOff>371475</xdr:rowOff>
    </xdr:from>
    <xdr:to>
      <xdr:col>3</xdr:col>
      <xdr:colOff>1647824</xdr:colOff>
      <xdr:row>5</xdr:row>
      <xdr:rowOff>1581150</xdr:rowOff>
    </xdr:to>
    <xdr:pic>
      <xdr:nvPicPr>
        <xdr:cNvPr id="6" name="Picture 2">
          <a:extLst>
            <a:ext uri="{FF2B5EF4-FFF2-40B4-BE49-F238E27FC236}">
              <a16:creationId xmlns:a16="http://schemas.microsoft.com/office/drawing/2014/main" id="{26590649-A168-47FB-8E43-5D91D69E0CF6}"/>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4647" t="6803" r="16162" b="6803"/>
        <a:stretch/>
      </xdr:blipFill>
      <xdr:spPr bwMode="auto">
        <a:xfrm>
          <a:off x="5343524" y="2466975"/>
          <a:ext cx="1304925" cy="12096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209550</xdr:colOff>
      <xdr:row>6</xdr:row>
      <xdr:rowOff>466725</xdr:rowOff>
    </xdr:from>
    <xdr:to>
      <xdr:col>3</xdr:col>
      <xdr:colOff>1466850</xdr:colOff>
      <xdr:row>6</xdr:row>
      <xdr:rowOff>1504950</xdr:rowOff>
    </xdr:to>
    <xdr:pic>
      <xdr:nvPicPr>
        <xdr:cNvPr id="7" name="Picture 8">
          <a:extLst>
            <a:ext uri="{FF2B5EF4-FFF2-40B4-BE49-F238E27FC236}">
              <a16:creationId xmlns:a16="http://schemas.microsoft.com/office/drawing/2014/main" id="{E8280777-3E4F-43A4-9AF6-7659D990E39B}"/>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5656" t="21348" r="17676" b="17415"/>
        <a:stretch/>
      </xdr:blipFill>
      <xdr:spPr bwMode="auto">
        <a:xfrm>
          <a:off x="5210175" y="4276725"/>
          <a:ext cx="125730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228600</xdr:colOff>
      <xdr:row>7</xdr:row>
      <xdr:rowOff>371475</xdr:rowOff>
    </xdr:from>
    <xdr:to>
      <xdr:col>3</xdr:col>
      <xdr:colOff>1533525</xdr:colOff>
      <xdr:row>7</xdr:row>
      <xdr:rowOff>1581150</xdr:rowOff>
    </xdr:to>
    <xdr:pic>
      <xdr:nvPicPr>
        <xdr:cNvPr id="8" name="Picture 2">
          <a:extLst>
            <a:ext uri="{FF2B5EF4-FFF2-40B4-BE49-F238E27FC236}">
              <a16:creationId xmlns:a16="http://schemas.microsoft.com/office/drawing/2014/main" id="{7597E6DD-D9A9-4FF6-9FE3-AF240BCE6969}"/>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4647" t="6803" r="16162" b="6803"/>
        <a:stretch/>
      </xdr:blipFill>
      <xdr:spPr bwMode="auto">
        <a:xfrm>
          <a:off x="5229225" y="5895975"/>
          <a:ext cx="1304925" cy="12096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152400</xdr:colOff>
      <xdr:row>8</xdr:row>
      <xdr:rowOff>457200</xdr:rowOff>
    </xdr:from>
    <xdr:to>
      <xdr:col>3</xdr:col>
      <xdr:colOff>1409700</xdr:colOff>
      <xdr:row>8</xdr:row>
      <xdr:rowOff>1495425</xdr:rowOff>
    </xdr:to>
    <xdr:pic>
      <xdr:nvPicPr>
        <xdr:cNvPr id="11" name="Picture 8">
          <a:extLst>
            <a:ext uri="{FF2B5EF4-FFF2-40B4-BE49-F238E27FC236}">
              <a16:creationId xmlns:a16="http://schemas.microsoft.com/office/drawing/2014/main" id="{3D2CFE61-2629-449A-8508-0C241FC6D91B}"/>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5656" t="21348" r="17676" b="17415"/>
        <a:stretch/>
      </xdr:blipFill>
      <xdr:spPr bwMode="auto">
        <a:xfrm>
          <a:off x="5153025" y="7696200"/>
          <a:ext cx="125730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1400175</xdr:colOff>
      <xdr:row>139</xdr:row>
      <xdr:rowOff>123825</xdr:rowOff>
    </xdr:from>
    <xdr:to>
      <xdr:col>3</xdr:col>
      <xdr:colOff>981075</xdr:colOff>
      <xdr:row>149</xdr:row>
      <xdr:rowOff>9525</xdr:rowOff>
    </xdr:to>
    <xdr:pic>
      <xdr:nvPicPr>
        <xdr:cNvPr id="8" name="Picture 23">
          <a:extLst>
            <a:ext uri="{FF2B5EF4-FFF2-40B4-BE49-F238E27FC236}">
              <a16:creationId xmlns:a16="http://schemas.microsoft.com/office/drawing/2014/main" id="{EE437527-ACD6-46DD-BBAF-B4F974C662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4775" y="378428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1552575</xdr:colOff>
      <xdr:row>140</xdr:row>
      <xdr:rowOff>95250</xdr:rowOff>
    </xdr:from>
    <xdr:to>
      <xdr:col>3</xdr:col>
      <xdr:colOff>1133475</xdr:colOff>
      <xdr:row>149</xdr:row>
      <xdr:rowOff>161925</xdr:rowOff>
    </xdr:to>
    <xdr:pic>
      <xdr:nvPicPr>
        <xdr:cNvPr id="9" name="Picture 23">
          <a:extLst>
            <a:ext uri="{FF2B5EF4-FFF2-40B4-BE49-F238E27FC236}">
              <a16:creationId xmlns:a16="http://schemas.microsoft.com/office/drawing/2014/main" id="{8BE7C901-6D71-471A-970E-5093489B11F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067175" y="379952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4</xdr:col>
      <xdr:colOff>781051</xdr:colOff>
      <xdr:row>0</xdr:row>
      <xdr:rowOff>685802</xdr:rowOff>
    </xdr:from>
    <xdr:to>
      <xdr:col>5</xdr:col>
      <xdr:colOff>450744</xdr:colOff>
      <xdr:row>1</xdr:row>
      <xdr:rowOff>139673</xdr:rowOff>
    </xdr:to>
    <xdr:pic>
      <xdr:nvPicPr>
        <xdr:cNvPr id="11" name="Рисунок 10">
          <a:extLst>
            <a:ext uri="{FF2B5EF4-FFF2-40B4-BE49-F238E27FC236}">
              <a16:creationId xmlns:a16="http://schemas.microsoft.com/office/drawing/2014/main" id="{5E815F6A-5253-4E43-9616-C4A1696AE6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20918134">
          <a:off x="8982076" y="685802"/>
          <a:ext cx="545993" cy="606396"/>
        </a:xfrm>
        <a:prstGeom prst="rect">
          <a:avLst/>
        </a:prstGeom>
      </xdr:spPr>
    </xdr:pic>
    <xdr:clientData/>
  </xdr:twoCellAnchor>
  <xdr:twoCellAnchor editAs="oneCell">
    <xdr:from>
      <xdr:col>1</xdr:col>
      <xdr:colOff>1485900</xdr:colOff>
      <xdr:row>0</xdr:row>
      <xdr:rowOff>142875</xdr:rowOff>
    </xdr:from>
    <xdr:to>
      <xdr:col>3</xdr:col>
      <xdr:colOff>714375</xdr:colOff>
      <xdr:row>0</xdr:row>
      <xdr:rowOff>1009650</xdr:rowOff>
    </xdr:to>
    <xdr:pic>
      <xdr:nvPicPr>
        <xdr:cNvPr id="12" name="Рисунок 11">
          <a:extLst>
            <a:ext uri="{FF2B5EF4-FFF2-40B4-BE49-F238E27FC236}">
              <a16:creationId xmlns:a16="http://schemas.microsoft.com/office/drawing/2014/main" id="{046291AA-730D-4AFD-A192-9BF767CAB3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66900" y="14287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1743075</xdr:colOff>
      <xdr:row>5</xdr:row>
      <xdr:rowOff>95250</xdr:rowOff>
    </xdr:from>
    <xdr:to>
      <xdr:col>3</xdr:col>
      <xdr:colOff>3095625</xdr:colOff>
      <xdr:row>5</xdr:row>
      <xdr:rowOff>1323975</xdr:rowOff>
    </xdr:to>
    <xdr:pic>
      <xdr:nvPicPr>
        <xdr:cNvPr id="21" name="Picture 3">
          <a:extLst>
            <a:ext uri="{FF2B5EF4-FFF2-40B4-BE49-F238E27FC236}">
              <a16:creationId xmlns:a16="http://schemas.microsoft.com/office/drawing/2014/main" id="{FF48EA3A-8FDA-4B71-AF7D-E70A34447186}"/>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6129" t="10527" r="18433" b="14035"/>
        <a:stretch/>
      </xdr:blipFill>
      <xdr:spPr bwMode="auto">
        <a:xfrm>
          <a:off x="6743700" y="2190750"/>
          <a:ext cx="1352550" cy="12287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657225</xdr:colOff>
      <xdr:row>5</xdr:row>
      <xdr:rowOff>238125</xdr:rowOff>
    </xdr:from>
    <xdr:to>
      <xdr:col>3</xdr:col>
      <xdr:colOff>2724150</xdr:colOff>
      <xdr:row>5</xdr:row>
      <xdr:rowOff>1819275</xdr:rowOff>
    </xdr:to>
    <xdr:pic>
      <xdr:nvPicPr>
        <xdr:cNvPr id="20" name="Picture 2">
          <a:extLst>
            <a:ext uri="{FF2B5EF4-FFF2-40B4-BE49-F238E27FC236}">
              <a16:creationId xmlns:a16="http://schemas.microsoft.com/office/drawing/2014/main" id="{8A8A2544-8357-45A3-A63F-38391980FB42}"/>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657850" y="2333625"/>
          <a:ext cx="2066925" cy="15811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2181225</xdr:colOff>
      <xdr:row>5</xdr:row>
      <xdr:rowOff>571500</xdr:rowOff>
    </xdr:from>
    <xdr:to>
      <xdr:col>3</xdr:col>
      <xdr:colOff>1762125</xdr:colOff>
      <xdr:row>5</xdr:row>
      <xdr:rowOff>2219325</xdr:rowOff>
    </xdr:to>
    <xdr:pic>
      <xdr:nvPicPr>
        <xdr:cNvPr id="22" name="Picture 4">
          <a:extLst>
            <a:ext uri="{FF2B5EF4-FFF2-40B4-BE49-F238E27FC236}">
              <a16:creationId xmlns:a16="http://schemas.microsoft.com/office/drawing/2014/main" id="{62CD0E4F-50E8-42A6-A6DC-110CA1722B56}"/>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695825" y="2667000"/>
          <a:ext cx="2066925" cy="16478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1743075</xdr:colOff>
      <xdr:row>6</xdr:row>
      <xdr:rowOff>209550</xdr:rowOff>
    </xdr:from>
    <xdr:to>
      <xdr:col>3</xdr:col>
      <xdr:colOff>3095625</xdr:colOff>
      <xdr:row>6</xdr:row>
      <xdr:rowOff>1323975</xdr:rowOff>
    </xdr:to>
    <xdr:pic>
      <xdr:nvPicPr>
        <xdr:cNvPr id="23" name="Picture 3">
          <a:extLst>
            <a:ext uri="{FF2B5EF4-FFF2-40B4-BE49-F238E27FC236}">
              <a16:creationId xmlns:a16="http://schemas.microsoft.com/office/drawing/2014/main" id="{AC2A0470-F22A-4C78-BB7C-751EC51FAA1E}"/>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6129" t="10527" r="18433" b="14035"/>
        <a:stretch/>
      </xdr:blipFill>
      <xdr:spPr bwMode="auto">
        <a:xfrm>
          <a:off x="6743700" y="5086350"/>
          <a:ext cx="1352550" cy="11144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571500</xdr:colOff>
      <xdr:row>6</xdr:row>
      <xdr:rowOff>266700</xdr:rowOff>
    </xdr:from>
    <xdr:to>
      <xdr:col>3</xdr:col>
      <xdr:colOff>2638425</xdr:colOff>
      <xdr:row>6</xdr:row>
      <xdr:rowOff>1895475</xdr:rowOff>
    </xdr:to>
    <xdr:pic>
      <xdr:nvPicPr>
        <xdr:cNvPr id="24" name="Picture 2">
          <a:extLst>
            <a:ext uri="{FF2B5EF4-FFF2-40B4-BE49-F238E27FC236}">
              <a16:creationId xmlns:a16="http://schemas.microsoft.com/office/drawing/2014/main" id="{E4805F93-F2A8-4D71-9B04-EFB581832DF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572125" y="5143500"/>
          <a:ext cx="2066925" cy="1628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2171700</xdr:colOff>
      <xdr:row>6</xdr:row>
      <xdr:rowOff>514352</xdr:rowOff>
    </xdr:from>
    <xdr:to>
      <xdr:col>3</xdr:col>
      <xdr:colOff>1752600</xdr:colOff>
      <xdr:row>6</xdr:row>
      <xdr:rowOff>2257426</xdr:rowOff>
    </xdr:to>
    <xdr:pic>
      <xdr:nvPicPr>
        <xdr:cNvPr id="25" name="Picture 4">
          <a:extLst>
            <a:ext uri="{FF2B5EF4-FFF2-40B4-BE49-F238E27FC236}">
              <a16:creationId xmlns:a16="http://schemas.microsoft.com/office/drawing/2014/main" id="{2127B20F-BD7C-40F0-A2AD-F389828CAF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4686300" y="5391152"/>
          <a:ext cx="2066925" cy="1743074"/>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7</xdr:row>
      <xdr:rowOff>238124</xdr:rowOff>
    </xdr:from>
    <xdr:to>
      <xdr:col>3</xdr:col>
      <xdr:colOff>3009900</xdr:colOff>
      <xdr:row>7</xdr:row>
      <xdr:rowOff>1657349</xdr:rowOff>
    </xdr:to>
    <xdr:pic>
      <xdr:nvPicPr>
        <xdr:cNvPr id="27" name="Picture 7">
          <a:extLst>
            <a:ext uri="{FF2B5EF4-FFF2-40B4-BE49-F238E27FC236}">
              <a16:creationId xmlns:a16="http://schemas.microsoft.com/office/drawing/2014/main" id="{89839BE9-6A45-4A79-BA7C-37F06269BD04}"/>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l="14747" r="18433" b="3247"/>
        <a:stretch/>
      </xdr:blipFill>
      <xdr:spPr bwMode="auto">
        <a:xfrm>
          <a:off x="6629400" y="8010524"/>
          <a:ext cx="1381125" cy="1419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171450</xdr:colOff>
      <xdr:row>7</xdr:row>
      <xdr:rowOff>228601</xdr:rowOff>
    </xdr:from>
    <xdr:to>
      <xdr:col>3</xdr:col>
      <xdr:colOff>1485900</xdr:colOff>
      <xdr:row>7</xdr:row>
      <xdr:rowOff>1600201</xdr:rowOff>
    </xdr:to>
    <xdr:pic>
      <xdr:nvPicPr>
        <xdr:cNvPr id="26" name="Picture 6">
          <a:extLst>
            <a:ext uri="{FF2B5EF4-FFF2-40B4-BE49-F238E27FC236}">
              <a16:creationId xmlns:a16="http://schemas.microsoft.com/office/drawing/2014/main" id="{6EBA1C95-BEEC-4F94-A459-AF27B370657F}"/>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17973" r="18433" b="5264"/>
        <a:stretch/>
      </xdr:blipFill>
      <xdr:spPr bwMode="auto">
        <a:xfrm>
          <a:off x="5172075" y="8001001"/>
          <a:ext cx="1314450" cy="1371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8</xdr:row>
      <xdr:rowOff>238124</xdr:rowOff>
    </xdr:from>
    <xdr:to>
      <xdr:col>3</xdr:col>
      <xdr:colOff>3009900</xdr:colOff>
      <xdr:row>8</xdr:row>
      <xdr:rowOff>1657349</xdr:rowOff>
    </xdr:to>
    <xdr:pic>
      <xdr:nvPicPr>
        <xdr:cNvPr id="30" name="Picture 7">
          <a:extLst>
            <a:ext uri="{FF2B5EF4-FFF2-40B4-BE49-F238E27FC236}">
              <a16:creationId xmlns:a16="http://schemas.microsoft.com/office/drawing/2014/main" id="{CE488950-436A-4EAF-96E9-AB5835F67F79}"/>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l="14747" r="18433" b="3247"/>
        <a:stretch/>
      </xdr:blipFill>
      <xdr:spPr bwMode="auto">
        <a:xfrm>
          <a:off x="6629400" y="8010524"/>
          <a:ext cx="1381125" cy="1419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171450</xdr:colOff>
      <xdr:row>8</xdr:row>
      <xdr:rowOff>228601</xdr:rowOff>
    </xdr:from>
    <xdr:to>
      <xdr:col>3</xdr:col>
      <xdr:colOff>1485900</xdr:colOff>
      <xdr:row>8</xdr:row>
      <xdr:rowOff>1600201</xdr:rowOff>
    </xdr:to>
    <xdr:pic>
      <xdr:nvPicPr>
        <xdr:cNvPr id="31" name="Picture 6">
          <a:extLst>
            <a:ext uri="{FF2B5EF4-FFF2-40B4-BE49-F238E27FC236}">
              <a16:creationId xmlns:a16="http://schemas.microsoft.com/office/drawing/2014/main" id="{FC939846-0A6A-4B3E-AC08-96A2CA658397}"/>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l="17973" r="18433" b="5264"/>
        <a:stretch/>
      </xdr:blipFill>
      <xdr:spPr bwMode="auto">
        <a:xfrm>
          <a:off x="5172075" y="8001001"/>
          <a:ext cx="1314450" cy="1371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647700</xdr:colOff>
      <xdr:row>9</xdr:row>
      <xdr:rowOff>66676</xdr:rowOff>
    </xdr:from>
    <xdr:to>
      <xdr:col>3</xdr:col>
      <xdr:colOff>2447925</xdr:colOff>
      <xdr:row>9</xdr:row>
      <xdr:rowOff>1468694</xdr:rowOff>
    </xdr:to>
    <xdr:pic>
      <xdr:nvPicPr>
        <xdr:cNvPr id="32" name="Picture 8">
          <a:extLst>
            <a:ext uri="{FF2B5EF4-FFF2-40B4-BE49-F238E27FC236}">
              <a16:creationId xmlns:a16="http://schemas.microsoft.com/office/drawing/2014/main" id="{4C1121FF-CA90-4E9F-83F8-5E8A68C3C432}"/>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648325" y="11268076"/>
          <a:ext cx="1800225" cy="1402018"/>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95250</xdr:colOff>
      <xdr:row>10</xdr:row>
      <xdr:rowOff>123825</xdr:rowOff>
    </xdr:from>
    <xdr:to>
      <xdr:col>3</xdr:col>
      <xdr:colOff>1485900</xdr:colOff>
      <xdr:row>10</xdr:row>
      <xdr:rowOff>1285876</xdr:rowOff>
    </xdr:to>
    <xdr:pic>
      <xdr:nvPicPr>
        <xdr:cNvPr id="33" name="Picture 10">
          <a:extLst>
            <a:ext uri="{FF2B5EF4-FFF2-40B4-BE49-F238E27FC236}">
              <a16:creationId xmlns:a16="http://schemas.microsoft.com/office/drawing/2014/main" id="{792D79B5-33D6-449C-958E-4EB02BDB76F1}"/>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6129" t="14094" r="16590" b="11409"/>
        <a:stretch/>
      </xdr:blipFill>
      <xdr:spPr bwMode="auto">
        <a:xfrm>
          <a:off x="5095875" y="12839700"/>
          <a:ext cx="1390650" cy="116205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1590675</xdr:colOff>
      <xdr:row>10</xdr:row>
      <xdr:rowOff>200025</xdr:rowOff>
    </xdr:from>
    <xdr:to>
      <xdr:col>3</xdr:col>
      <xdr:colOff>3106899</xdr:colOff>
      <xdr:row>10</xdr:row>
      <xdr:rowOff>1285875</xdr:rowOff>
    </xdr:to>
    <xdr:pic>
      <xdr:nvPicPr>
        <xdr:cNvPr id="34" name="Picture 11">
          <a:extLst>
            <a:ext uri="{FF2B5EF4-FFF2-40B4-BE49-F238E27FC236}">
              <a16:creationId xmlns:a16="http://schemas.microsoft.com/office/drawing/2014/main" id="{C52B9D9C-E5E1-4027-81E5-3613EF0E760A}"/>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a:ext>
          </a:extLst>
        </a:blip>
        <a:srcRect l="15207" t="16438" r="15668" b="16438"/>
        <a:stretch/>
      </xdr:blipFill>
      <xdr:spPr bwMode="auto">
        <a:xfrm>
          <a:off x="6591300" y="12915900"/>
          <a:ext cx="1516224"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95250</xdr:colOff>
      <xdr:row>11</xdr:row>
      <xdr:rowOff>123825</xdr:rowOff>
    </xdr:from>
    <xdr:to>
      <xdr:col>3</xdr:col>
      <xdr:colOff>1485900</xdr:colOff>
      <xdr:row>11</xdr:row>
      <xdr:rowOff>1285876</xdr:rowOff>
    </xdr:to>
    <xdr:pic>
      <xdr:nvPicPr>
        <xdr:cNvPr id="35" name="Picture 10">
          <a:extLst>
            <a:ext uri="{FF2B5EF4-FFF2-40B4-BE49-F238E27FC236}">
              <a16:creationId xmlns:a16="http://schemas.microsoft.com/office/drawing/2014/main" id="{5911D279-B9ED-4BE6-A039-FF1B4D5B788F}"/>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6129" t="14094" r="16590" b="11409"/>
        <a:stretch/>
      </xdr:blipFill>
      <xdr:spPr bwMode="auto">
        <a:xfrm>
          <a:off x="5095875" y="12839700"/>
          <a:ext cx="1390650" cy="116205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1590675</xdr:colOff>
      <xdr:row>11</xdr:row>
      <xdr:rowOff>200025</xdr:rowOff>
    </xdr:from>
    <xdr:to>
      <xdr:col>3</xdr:col>
      <xdr:colOff>3106899</xdr:colOff>
      <xdr:row>11</xdr:row>
      <xdr:rowOff>1285875</xdr:rowOff>
    </xdr:to>
    <xdr:pic>
      <xdr:nvPicPr>
        <xdr:cNvPr id="36" name="Picture 11">
          <a:extLst>
            <a:ext uri="{FF2B5EF4-FFF2-40B4-BE49-F238E27FC236}">
              <a16:creationId xmlns:a16="http://schemas.microsoft.com/office/drawing/2014/main" id="{FD21EF81-2A24-4D29-9D5D-4609810543EA}"/>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a:ext>
          </a:extLst>
        </a:blip>
        <a:srcRect l="15207" t="16438" r="15668" b="16438"/>
        <a:stretch/>
      </xdr:blipFill>
      <xdr:spPr bwMode="auto">
        <a:xfrm>
          <a:off x="6591300" y="12915900"/>
          <a:ext cx="1516224"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95250</xdr:colOff>
      <xdr:row>12</xdr:row>
      <xdr:rowOff>123825</xdr:rowOff>
    </xdr:from>
    <xdr:to>
      <xdr:col>3</xdr:col>
      <xdr:colOff>1485900</xdr:colOff>
      <xdr:row>12</xdr:row>
      <xdr:rowOff>1285876</xdr:rowOff>
    </xdr:to>
    <xdr:pic>
      <xdr:nvPicPr>
        <xdr:cNvPr id="37" name="Picture 10">
          <a:extLst>
            <a:ext uri="{FF2B5EF4-FFF2-40B4-BE49-F238E27FC236}">
              <a16:creationId xmlns:a16="http://schemas.microsoft.com/office/drawing/2014/main" id="{747C6F5D-8261-4805-868F-3D0D0FD60B84}"/>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6129" t="14094" r="16590" b="11409"/>
        <a:stretch/>
      </xdr:blipFill>
      <xdr:spPr bwMode="auto">
        <a:xfrm>
          <a:off x="5095875" y="14268450"/>
          <a:ext cx="1390650" cy="116205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1590675</xdr:colOff>
      <xdr:row>12</xdr:row>
      <xdr:rowOff>200025</xdr:rowOff>
    </xdr:from>
    <xdr:to>
      <xdr:col>3</xdr:col>
      <xdr:colOff>3106899</xdr:colOff>
      <xdr:row>12</xdr:row>
      <xdr:rowOff>1285875</xdr:rowOff>
    </xdr:to>
    <xdr:pic>
      <xdr:nvPicPr>
        <xdr:cNvPr id="38" name="Picture 11">
          <a:extLst>
            <a:ext uri="{FF2B5EF4-FFF2-40B4-BE49-F238E27FC236}">
              <a16:creationId xmlns:a16="http://schemas.microsoft.com/office/drawing/2014/main" id="{D09AF7F4-EB90-45EA-A20A-64E4B32BE93A}"/>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a:ext>
          </a:extLst>
        </a:blip>
        <a:srcRect l="15207" t="16438" r="15668" b="16438"/>
        <a:stretch/>
      </xdr:blipFill>
      <xdr:spPr bwMode="auto">
        <a:xfrm>
          <a:off x="6591300" y="14344650"/>
          <a:ext cx="1516224"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85726</xdr:colOff>
      <xdr:row>13</xdr:row>
      <xdr:rowOff>95250</xdr:rowOff>
    </xdr:from>
    <xdr:to>
      <xdr:col>3</xdr:col>
      <xdr:colOff>1533526</xdr:colOff>
      <xdr:row>13</xdr:row>
      <xdr:rowOff>1343025</xdr:rowOff>
    </xdr:to>
    <xdr:pic>
      <xdr:nvPicPr>
        <xdr:cNvPr id="41" name="Picture 13">
          <a:extLst>
            <a:ext uri="{FF2B5EF4-FFF2-40B4-BE49-F238E27FC236}">
              <a16:creationId xmlns:a16="http://schemas.microsoft.com/office/drawing/2014/main" id="{F364B12D-F1FE-49D2-888A-B9D9CF79C04C}"/>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3825" r="16129" b="10274"/>
        <a:stretch/>
      </xdr:blipFill>
      <xdr:spPr bwMode="auto">
        <a:xfrm>
          <a:off x="5086351" y="17097375"/>
          <a:ext cx="1447800" cy="1247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13</xdr:row>
      <xdr:rowOff>247650</xdr:rowOff>
    </xdr:from>
    <xdr:to>
      <xdr:col>3</xdr:col>
      <xdr:colOff>3048000</xdr:colOff>
      <xdr:row>13</xdr:row>
      <xdr:rowOff>1333500</xdr:rowOff>
    </xdr:to>
    <xdr:pic>
      <xdr:nvPicPr>
        <xdr:cNvPr id="42" name="Picture 14">
          <a:extLst>
            <a:ext uri="{FF2B5EF4-FFF2-40B4-BE49-F238E27FC236}">
              <a16:creationId xmlns:a16="http://schemas.microsoft.com/office/drawing/2014/main" id="{1638FAFC-503A-4FBF-9AE5-2FF49E007E86}"/>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6129" t="9999" r="15208" b="14001"/>
        <a:stretch/>
      </xdr:blipFill>
      <xdr:spPr bwMode="auto">
        <a:xfrm>
          <a:off x="6629400" y="17249775"/>
          <a:ext cx="1419225"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123824</xdr:colOff>
      <xdr:row>15</xdr:row>
      <xdr:rowOff>66675</xdr:rowOff>
    </xdr:from>
    <xdr:to>
      <xdr:col>3</xdr:col>
      <xdr:colOff>1514475</xdr:colOff>
      <xdr:row>15</xdr:row>
      <xdr:rowOff>1409700</xdr:rowOff>
    </xdr:to>
    <xdr:pic>
      <xdr:nvPicPr>
        <xdr:cNvPr id="43" name="Picture 15">
          <a:extLst>
            <a:ext uri="{FF2B5EF4-FFF2-40B4-BE49-F238E27FC236}">
              <a16:creationId xmlns:a16="http://schemas.microsoft.com/office/drawing/2014/main" id="{4564AA0A-51F4-4F93-9A52-D5CFEC08EB77}"/>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l="15668" r="17051"/>
        <a:stretch/>
      </xdr:blipFill>
      <xdr:spPr bwMode="auto">
        <a:xfrm>
          <a:off x="5124449" y="18497550"/>
          <a:ext cx="1390651" cy="13430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1590674</xdr:colOff>
      <xdr:row>15</xdr:row>
      <xdr:rowOff>323850</xdr:rowOff>
    </xdr:from>
    <xdr:to>
      <xdr:col>3</xdr:col>
      <xdr:colOff>3038475</xdr:colOff>
      <xdr:row>15</xdr:row>
      <xdr:rowOff>1314450</xdr:rowOff>
    </xdr:to>
    <xdr:pic>
      <xdr:nvPicPr>
        <xdr:cNvPr id="44" name="Picture 16">
          <a:extLst>
            <a:ext uri="{FF2B5EF4-FFF2-40B4-BE49-F238E27FC236}">
              <a16:creationId xmlns:a16="http://schemas.microsoft.com/office/drawing/2014/main" id="{52B37FEA-87CD-4670-8CC8-454C7F6EB416}"/>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l="11982" t="15540" r="17972" b="14189"/>
        <a:stretch/>
      </xdr:blipFill>
      <xdr:spPr bwMode="auto">
        <a:xfrm>
          <a:off x="6591299" y="18754725"/>
          <a:ext cx="1447801"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123824</xdr:colOff>
      <xdr:row>16</xdr:row>
      <xdr:rowOff>66675</xdr:rowOff>
    </xdr:from>
    <xdr:to>
      <xdr:col>3</xdr:col>
      <xdr:colOff>1514475</xdr:colOff>
      <xdr:row>16</xdr:row>
      <xdr:rowOff>1409700</xdr:rowOff>
    </xdr:to>
    <xdr:pic>
      <xdr:nvPicPr>
        <xdr:cNvPr id="45" name="Picture 15">
          <a:extLst>
            <a:ext uri="{FF2B5EF4-FFF2-40B4-BE49-F238E27FC236}">
              <a16:creationId xmlns:a16="http://schemas.microsoft.com/office/drawing/2014/main" id="{DECB25C2-0E26-4A12-8B7A-0F2CC7BE6BB6}"/>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l="15668" r="17051"/>
        <a:stretch/>
      </xdr:blipFill>
      <xdr:spPr bwMode="auto">
        <a:xfrm>
          <a:off x="5124449" y="18497550"/>
          <a:ext cx="1390651" cy="13430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1590674</xdr:colOff>
      <xdr:row>16</xdr:row>
      <xdr:rowOff>323850</xdr:rowOff>
    </xdr:from>
    <xdr:to>
      <xdr:col>3</xdr:col>
      <xdr:colOff>3038475</xdr:colOff>
      <xdr:row>16</xdr:row>
      <xdr:rowOff>1314450</xdr:rowOff>
    </xdr:to>
    <xdr:pic>
      <xdr:nvPicPr>
        <xdr:cNvPr id="46" name="Picture 16">
          <a:extLst>
            <a:ext uri="{FF2B5EF4-FFF2-40B4-BE49-F238E27FC236}">
              <a16:creationId xmlns:a16="http://schemas.microsoft.com/office/drawing/2014/main" id="{2BF705AA-3D1F-48F6-8C3B-B2EDF39A6B35}"/>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l="11982" t="15540" r="17972" b="14189"/>
        <a:stretch/>
      </xdr:blipFill>
      <xdr:spPr bwMode="auto">
        <a:xfrm>
          <a:off x="6591299" y="18754725"/>
          <a:ext cx="1447801"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85726</xdr:colOff>
      <xdr:row>13</xdr:row>
      <xdr:rowOff>95250</xdr:rowOff>
    </xdr:from>
    <xdr:to>
      <xdr:col>3</xdr:col>
      <xdr:colOff>1533526</xdr:colOff>
      <xdr:row>13</xdr:row>
      <xdr:rowOff>1343025</xdr:rowOff>
    </xdr:to>
    <xdr:pic>
      <xdr:nvPicPr>
        <xdr:cNvPr id="47" name="Picture 13">
          <a:extLst>
            <a:ext uri="{FF2B5EF4-FFF2-40B4-BE49-F238E27FC236}">
              <a16:creationId xmlns:a16="http://schemas.microsoft.com/office/drawing/2014/main" id="{E9630868-5815-4582-8414-77C05593B0E3}"/>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3825" r="16129" b="10274"/>
        <a:stretch/>
      </xdr:blipFill>
      <xdr:spPr bwMode="auto">
        <a:xfrm>
          <a:off x="5086351" y="17097375"/>
          <a:ext cx="1447800" cy="1247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13</xdr:row>
      <xdr:rowOff>247650</xdr:rowOff>
    </xdr:from>
    <xdr:to>
      <xdr:col>3</xdr:col>
      <xdr:colOff>3048000</xdr:colOff>
      <xdr:row>13</xdr:row>
      <xdr:rowOff>1333500</xdr:rowOff>
    </xdr:to>
    <xdr:pic>
      <xdr:nvPicPr>
        <xdr:cNvPr id="48" name="Picture 14">
          <a:extLst>
            <a:ext uri="{FF2B5EF4-FFF2-40B4-BE49-F238E27FC236}">
              <a16:creationId xmlns:a16="http://schemas.microsoft.com/office/drawing/2014/main" id="{6BD94F74-BE5B-42CA-ACE8-054F0359231D}"/>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6129" t="9999" r="15208" b="14001"/>
        <a:stretch/>
      </xdr:blipFill>
      <xdr:spPr bwMode="auto">
        <a:xfrm>
          <a:off x="6629400" y="17249775"/>
          <a:ext cx="1419225"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85726</xdr:colOff>
      <xdr:row>14</xdr:row>
      <xdr:rowOff>95250</xdr:rowOff>
    </xdr:from>
    <xdr:to>
      <xdr:col>3</xdr:col>
      <xdr:colOff>1533526</xdr:colOff>
      <xdr:row>14</xdr:row>
      <xdr:rowOff>1343025</xdr:rowOff>
    </xdr:to>
    <xdr:pic>
      <xdr:nvPicPr>
        <xdr:cNvPr id="49" name="Picture 13">
          <a:extLst>
            <a:ext uri="{FF2B5EF4-FFF2-40B4-BE49-F238E27FC236}">
              <a16:creationId xmlns:a16="http://schemas.microsoft.com/office/drawing/2014/main" id="{3DE6F58D-36F7-4D3B-9709-B0F6C6717E73}"/>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3825" r="16129" b="10274"/>
        <a:stretch/>
      </xdr:blipFill>
      <xdr:spPr bwMode="auto">
        <a:xfrm>
          <a:off x="5086351" y="17097375"/>
          <a:ext cx="1447800" cy="1247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14</xdr:row>
      <xdr:rowOff>247650</xdr:rowOff>
    </xdr:from>
    <xdr:to>
      <xdr:col>3</xdr:col>
      <xdr:colOff>3048000</xdr:colOff>
      <xdr:row>14</xdr:row>
      <xdr:rowOff>1333500</xdr:rowOff>
    </xdr:to>
    <xdr:pic>
      <xdr:nvPicPr>
        <xdr:cNvPr id="50" name="Picture 14">
          <a:extLst>
            <a:ext uri="{FF2B5EF4-FFF2-40B4-BE49-F238E27FC236}">
              <a16:creationId xmlns:a16="http://schemas.microsoft.com/office/drawing/2014/main" id="{9A0C005C-9BD6-43C4-9CBF-F91B38DFDADE}"/>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6129" t="9999" r="15208" b="14001"/>
        <a:stretch/>
      </xdr:blipFill>
      <xdr:spPr bwMode="auto">
        <a:xfrm>
          <a:off x="6629400" y="17249775"/>
          <a:ext cx="1419225"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85726</xdr:colOff>
      <xdr:row>14</xdr:row>
      <xdr:rowOff>95250</xdr:rowOff>
    </xdr:from>
    <xdr:to>
      <xdr:col>3</xdr:col>
      <xdr:colOff>1533526</xdr:colOff>
      <xdr:row>14</xdr:row>
      <xdr:rowOff>1343025</xdr:rowOff>
    </xdr:to>
    <xdr:pic>
      <xdr:nvPicPr>
        <xdr:cNvPr id="51" name="Picture 13">
          <a:extLst>
            <a:ext uri="{FF2B5EF4-FFF2-40B4-BE49-F238E27FC236}">
              <a16:creationId xmlns:a16="http://schemas.microsoft.com/office/drawing/2014/main" id="{AF72732A-3471-488F-9BCA-D97F9598BC42}"/>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l="13825" r="16129" b="10274"/>
        <a:stretch/>
      </xdr:blipFill>
      <xdr:spPr bwMode="auto">
        <a:xfrm>
          <a:off x="5086351" y="17097375"/>
          <a:ext cx="1447800" cy="12477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1628775</xdr:colOff>
      <xdr:row>14</xdr:row>
      <xdr:rowOff>247650</xdr:rowOff>
    </xdr:from>
    <xdr:to>
      <xdr:col>3</xdr:col>
      <xdr:colOff>3048000</xdr:colOff>
      <xdr:row>14</xdr:row>
      <xdr:rowOff>1333500</xdr:rowOff>
    </xdr:to>
    <xdr:pic>
      <xdr:nvPicPr>
        <xdr:cNvPr id="52" name="Picture 14">
          <a:extLst>
            <a:ext uri="{FF2B5EF4-FFF2-40B4-BE49-F238E27FC236}">
              <a16:creationId xmlns:a16="http://schemas.microsoft.com/office/drawing/2014/main" id="{2E41024C-E11A-44D7-80BD-96FDAF0BC516}"/>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6129" t="9999" r="15208" b="14001"/>
        <a:stretch/>
      </xdr:blipFill>
      <xdr:spPr bwMode="auto">
        <a:xfrm>
          <a:off x="6629400" y="17249775"/>
          <a:ext cx="1419225" cy="10858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104775</xdr:colOff>
      <xdr:row>17</xdr:row>
      <xdr:rowOff>85725</xdr:rowOff>
    </xdr:from>
    <xdr:to>
      <xdr:col>3</xdr:col>
      <xdr:colOff>1552575</xdr:colOff>
      <xdr:row>17</xdr:row>
      <xdr:rowOff>1266825</xdr:rowOff>
    </xdr:to>
    <xdr:pic>
      <xdr:nvPicPr>
        <xdr:cNvPr id="53" name="Picture 17">
          <a:extLst>
            <a:ext uri="{FF2B5EF4-FFF2-40B4-BE49-F238E27FC236}">
              <a16:creationId xmlns:a16="http://schemas.microsoft.com/office/drawing/2014/main" id="{6AE42943-58B9-41A7-88C8-A29E788BCF5E}"/>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l="12500" t="5633" r="17129" b="7042"/>
        <a:stretch/>
      </xdr:blipFill>
      <xdr:spPr bwMode="auto">
        <a:xfrm>
          <a:off x="5105400" y="22802850"/>
          <a:ext cx="1447800" cy="11811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1543049</xdr:colOff>
      <xdr:row>17</xdr:row>
      <xdr:rowOff>76200</xdr:rowOff>
    </xdr:from>
    <xdr:to>
      <xdr:col>3</xdr:col>
      <xdr:colOff>3009900</xdr:colOff>
      <xdr:row>17</xdr:row>
      <xdr:rowOff>1371599</xdr:rowOff>
    </xdr:to>
    <xdr:pic>
      <xdr:nvPicPr>
        <xdr:cNvPr id="54" name="Picture 18">
          <a:extLst>
            <a:ext uri="{FF2B5EF4-FFF2-40B4-BE49-F238E27FC236}">
              <a16:creationId xmlns:a16="http://schemas.microsoft.com/office/drawing/2014/main" id="{4EF5E7A2-C88B-457F-AAE4-2362C7388303}"/>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l="12904" t="3572" r="16129" b="-715"/>
        <a:stretch/>
      </xdr:blipFill>
      <xdr:spPr bwMode="auto">
        <a:xfrm>
          <a:off x="6543674" y="22793325"/>
          <a:ext cx="1466851" cy="1295399"/>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104775</xdr:colOff>
      <xdr:row>18</xdr:row>
      <xdr:rowOff>85725</xdr:rowOff>
    </xdr:from>
    <xdr:to>
      <xdr:col>3</xdr:col>
      <xdr:colOff>1552575</xdr:colOff>
      <xdr:row>18</xdr:row>
      <xdr:rowOff>1266825</xdr:rowOff>
    </xdr:to>
    <xdr:pic>
      <xdr:nvPicPr>
        <xdr:cNvPr id="55" name="Picture 17">
          <a:extLst>
            <a:ext uri="{FF2B5EF4-FFF2-40B4-BE49-F238E27FC236}">
              <a16:creationId xmlns:a16="http://schemas.microsoft.com/office/drawing/2014/main" id="{65B44E3A-9A7A-4860-95B4-63B844F4195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l="12500" t="5633" r="17129" b="7042"/>
        <a:stretch/>
      </xdr:blipFill>
      <xdr:spPr bwMode="auto">
        <a:xfrm>
          <a:off x="5105400" y="22802850"/>
          <a:ext cx="1447800" cy="11811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1543049</xdr:colOff>
      <xdr:row>18</xdr:row>
      <xdr:rowOff>76200</xdr:rowOff>
    </xdr:from>
    <xdr:to>
      <xdr:col>3</xdr:col>
      <xdr:colOff>3009900</xdr:colOff>
      <xdr:row>18</xdr:row>
      <xdr:rowOff>1371599</xdr:rowOff>
    </xdr:to>
    <xdr:pic>
      <xdr:nvPicPr>
        <xdr:cNvPr id="56" name="Picture 18">
          <a:extLst>
            <a:ext uri="{FF2B5EF4-FFF2-40B4-BE49-F238E27FC236}">
              <a16:creationId xmlns:a16="http://schemas.microsoft.com/office/drawing/2014/main" id="{9E7C3AE1-B359-4A3B-9B36-FCA149A29787}"/>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l="12904" t="3572" r="16129" b="-715"/>
        <a:stretch/>
      </xdr:blipFill>
      <xdr:spPr bwMode="auto">
        <a:xfrm>
          <a:off x="6543674" y="22793325"/>
          <a:ext cx="1466851" cy="1295399"/>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66675</xdr:colOff>
      <xdr:row>19</xdr:row>
      <xdr:rowOff>190500</xdr:rowOff>
    </xdr:from>
    <xdr:to>
      <xdr:col>3</xdr:col>
      <xdr:colOff>1562100</xdr:colOff>
      <xdr:row>19</xdr:row>
      <xdr:rowOff>1209675</xdr:rowOff>
    </xdr:to>
    <xdr:pic>
      <xdr:nvPicPr>
        <xdr:cNvPr id="57" name="Picture 19">
          <a:extLst>
            <a:ext uri="{FF2B5EF4-FFF2-40B4-BE49-F238E27FC236}">
              <a16:creationId xmlns:a16="http://schemas.microsoft.com/office/drawing/2014/main" id="{9C5BC8B3-9A1E-4B2C-BE15-747FA88D687D}"/>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l="13826" t="14765" r="13824" b="13423"/>
        <a:stretch/>
      </xdr:blipFill>
      <xdr:spPr bwMode="auto">
        <a:xfrm>
          <a:off x="5067300" y="25765125"/>
          <a:ext cx="1495425" cy="1019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1609725</xdr:colOff>
      <xdr:row>19</xdr:row>
      <xdr:rowOff>238124</xdr:rowOff>
    </xdr:from>
    <xdr:to>
      <xdr:col>3</xdr:col>
      <xdr:colOff>3067050</xdr:colOff>
      <xdr:row>19</xdr:row>
      <xdr:rowOff>1285875</xdr:rowOff>
    </xdr:to>
    <xdr:pic>
      <xdr:nvPicPr>
        <xdr:cNvPr id="58" name="Picture 20">
          <a:extLst>
            <a:ext uri="{FF2B5EF4-FFF2-40B4-BE49-F238E27FC236}">
              <a16:creationId xmlns:a16="http://schemas.microsoft.com/office/drawing/2014/main" id="{CB3D112E-87CA-4F38-97E4-C8199F4A991F}"/>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15207" t="15287" r="14286" b="14650"/>
        <a:stretch/>
      </xdr:blipFill>
      <xdr:spPr bwMode="auto">
        <a:xfrm>
          <a:off x="6610350" y="25812749"/>
          <a:ext cx="1457325" cy="104775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66675</xdr:colOff>
      <xdr:row>20</xdr:row>
      <xdr:rowOff>190500</xdr:rowOff>
    </xdr:from>
    <xdr:to>
      <xdr:col>3</xdr:col>
      <xdr:colOff>1562100</xdr:colOff>
      <xdr:row>20</xdr:row>
      <xdr:rowOff>1209675</xdr:rowOff>
    </xdr:to>
    <xdr:pic>
      <xdr:nvPicPr>
        <xdr:cNvPr id="59" name="Picture 19">
          <a:extLst>
            <a:ext uri="{FF2B5EF4-FFF2-40B4-BE49-F238E27FC236}">
              <a16:creationId xmlns:a16="http://schemas.microsoft.com/office/drawing/2014/main" id="{A507F3C7-261B-4CE0-8A52-24FA9C331E0A}"/>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l="13826" t="14765" r="13824" b="13423"/>
        <a:stretch/>
      </xdr:blipFill>
      <xdr:spPr bwMode="auto">
        <a:xfrm>
          <a:off x="5067300" y="25765125"/>
          <a:ext cx="1495425" cy="1019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1609725</xdr:colOff>
      <xdr:row>20</xdr:row>
      <xdr:rowOff>238124</xdr:rowOff>
    </xdr:from>
    <xdr:to>
      <xdr:col>3</xdr:col>
      <xdr:colOff>3067050</xdr:colOff>
      <xdr:row>20</xdr:row>
      <xdr:rowOff>1285875</xdr:rowOff>
    </xdr:to>
    <xdr:pic>
      <xdr:nvPicPr>
        <xdr:cNvPr id="60" name="Picture 20">
          <a:extLst>
            <a:ext uri="{FF2B5EF4-FFF2-40B4-BE49-F238E27FC236}">
              <a16:creationId xmlns:a16="http://schemas.microsoft.com/office/drawing/2014/main" id="{6EC610E4-7AD4-463F-BDC7-9DEC340D31DE}"/>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15207" t="15287" r="14286" b="14650"/>
        <a:stretch/>
      </xdr:blipFill>
      <xdr:spPr bwMode="auto">
        <a:xfrm>
          <a:off x="6610350" y="25812749"/>
          <a:ext cx="1457325" cy="104775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1104900</xdr:colOff>
      <xdr:row>21</xdr:row>
      <xdr:rowOff>9525</xdr:rowOff>
    </xdr:from>
    <xdr:to>
      <xdr:col>3</xdr:col>
      <xdr:colOff>1990726</xdr:colOff>
      <xdr:row>21</xdr:row>
      <xdr:rowOff>1419225</xdr:rowOff>
    </xdr:to>
    <xdr:pic>
      <xdr:nvPicPr>
        <xdr:cNvPr id="61" name="Picture 21">
          <a:extLst>
            <a:ext uri="{FF2B5EF4-FFF2-40B4-BE49-F238E27FC236}">
              <a16:creationId xmlns:a16="http://schemas.microsoft.com/office/drawing/2014/main" id="{58D59D89-254F-4236-BA8A-27D7FDB9F8CC}"/>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16401" t="1362" r="22223" b="-2041"/>
        <a:stretch/>
      </xdr:blipFill>
      <xdr:spPr bwMode="auto">
        <a:xfrm>
          <a:off x="6105525" y="28441650"/>
          <a:ext cx="885826" cy="14097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171450</xdr:colOff>
      <xdr:row>22</xdr:row>
      <xdr:rowOff>104775</xdr:rowOff>
    </xdr:from>
    <xdr:to>
      <xdr:col>3</xdr:col>
      <xdr:colOff>1000125</xdr:colOff>
      <xdr:row>22</xdr:row>
      <xdr:rowOff>1419225</xdr:rowOff>
    </xdr:to>
    <xdr:pic>
      <xdr:nvPicPr>
        <xdr:cNvPr id="63" name="Picture 23">
          <a:extLst>
            <a:ext uri="{FF2B5EF4-FFF2-40B4-BE49-F238E27FC236}">
              <a16:creationId xmlns:a16="http://schemas.microsoft.com/office/drawing/2014/main" id="{9B60499D-1E12-4FAE-B562-6E0CFBB774D8}"/>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l="29954" t="10066" r="29954" b="6040"/>
        <a:stretch/>
      </xdr:blipFill>
      <xdr:spPr bwMode="auto">
        <a:xfrm>
          <a:off x="5172075" y="29965650"/>
          <a:ext cx="828675" cy="1314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2286000</xdr:colOff>
      <xdr:row>22</xdr:row>
      <xdr:rowOff>114300</xdr:rowOff>
    </xdr:from>
    <xdr:to>
      <xdr:col>3</xdr:col>
      <xdr:colOff>3162300</xdr:colOff>
      <xdr:row>22</xdr:row>
      <xdr:rowOff>1343025</xdr:rowOff>
    </xdr:to>
    <xdr:pic>
      <xdr:nvPicPr>
        <xdr:cNvPr id="66" name="Picture 25">
          <a:extLst>
            <a:ext uri="{FF2B5EF4-FFF2-40B4-BE49-F238E27FC236}">
              <a16:creationId xmlns:a16="http://schemas.microsoft.com/office/drawing/2014/main" id="{0A74859F-9398-4249-9EE1-42FA650ECD69}"/>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l="24423" t="9316" r="33180" b="10563"/>
        <a:stretch/>
      </xdr:blipFill>
      <xdr:spPr bwMode="auto">
        <a:xfrm>
          <a:off x="7286625" y="29975175"/>
          <a:ext cx="876300" cy="12287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1600199</xdr:colOff>
      <xdr:row>22</xdr:row>
      <xdr:rowOff>180975</xdr:rowOff>
    </xdr:from>
    <xdr:to>
      <xdr:col>3</xdr:col>
      <xdr:colOff>2438400</xdr:colOff>
      <xdr:row>22</xdr:row>
      <xdr:rowOff>1390650</xdr:rowOff>
    </xdr:to>
    <xdr:pic>
      <xdr:nvPicPr>
        <xdr:cNvPr id="68" name="Picture 28">
          <a:extLst>
            <a:ext uri="{FF2B5EF4-FFF2-40B4-BE49-F238E27FC236}">
              <a16:creationId xmlns:a16="http://schemas.microsoft.com/office/drawing/2014/main" id="{4AC66788-0F7E-4DDA-8935-68059BE86E12}"/>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l="27650" t="11496" r="31797" b="7392"/>
        <a:stretch/>
      </xdr:blipFill>
      <xdr:spPr bwMode="auto">
        <a:xfrm>
          <a:off x="6600824" y="30041850"/>
          <a:ext cx="838201" cy="12096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838199</xdr:colOff>
      <xdr:row>21</xdr:row>
      <xdr:rowOff>1409700</xdr:rowOff>
    </xdr:from>
    <xdr:to>
      <xdr:col>3</xdr:col>
      <xdr:colOff>1685924</xdr:colOff>
      <xdr:row>22</xdr:row>
      <xdr:rowOff>1381125</xdr:rowOff>
    </xdr:to>
    <xdr:pic>
      <xdr:nvPicPr>
        <xdr:cNvPr id="65" name="Picture 24">
          <a:extLst>
            <a:ext uri="{FF2B5EF4-FFF2-40B4-BE49-F238E27FC236}">
              <a16:creationId xmlns:a16="http://schemas.microsoft.com/office/drawing/2014/main" id="{B377D63B-0F26-4A42-9FA6-FC1AD09BEE2E}"/>
            </a:ext>
          </a:extLst>
        </xdr:cNvPr>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l="25381" r="29442"/>
        <a:stretch/>
      </xdr:blipFill>
      <xdr:spPr bwMode="auto">
        <a:xfrm flipH="1">
          <a:off x="5838824" y="29841825"/>
          <a:ext cx="847725" cy="1400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171450</xdr:colOff>
      <xdr:row>23</xdr:row>
      <xdr:rowOff>104775</xdr:rowOff>
    </xdr:from>
    <xdr:to>
      <xdr:col>3</xdr:col>
      <xdr:colOff>1000125</xdr:colOff>
      <xdr:row>23</xdr:row>
      <xdr:rowOff>1419225</xdr:rowOff>
    </xdr:to>
    <xdr:pic>
      <xdr:nvPicPr>
        <xdr:cNvPr id="69" name="Picture 23">
          <a:extLst>
            <a:ext uri="{FF2B5EF4-FFF2-40B4-BE49-F238E27FC236}">
              <a16:creationId xmlns:a16="http://schemas.microsoft.com/office/drawing/2014/main" id="{D898BC74-7621-4C9F-9A4C-F53C347497C3}"/>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l="29954" t="10066" r="29954" b="6040"/>
        <a:stretch/>
      </xdr:blipFill>
      <xdr:spPr bwMode="auto">
        <a:xfrm>
          <a:off x="5172075" y="29965650"/>
          <a:ext cx="828675" cy="1314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2286000</xdr:colOff>
      <xdr:row>23</xdr:row>
      <xdr:rowOff>114300</xdr:rowOff>
    </xdr:from>
    <xdr:to>
      <xdr:col>3</xdr:col>
      <xdr:colOff>3162300</xdr:colOff>
      <xdr:row>23</xdr:row>
      <xdr:rowOff>1343025</xdr:rowOff>
    </xdr:to>
    <xdr:pic>
      <xdr:nvPicPr>
        <xdr:cNvPr id="70" name="Picture 25">
          <a:extLst>
            <a:ext uri="{FF2B5EF4-FFF2-40B4-BE49-F238E27FC236}">
              <a16:creationId xmlns:a16="http://schemas.microsoft.com/office/drawing/2014/main" id="{CB4AED84-7A2D-4DAD-BB96-29E2E32793B7}"/>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l="24423" t="9316" r="33180" b="10563"/>
        <a:stretch/>
      </xdr:blipFill>
      <xdr:spPr bwMode="auto">
        <a:xfrm>
          <a:off x="7286625" y="29975175"/>
          <a:ext cx="876300" cy="12287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1600199</xdr:colOff>
      <xdr:row>23</xdr:row>
      <xdr:rowOff>180975</xdr:rowOff>
    </xdr:from>
    <xdr:to>
      <xdr:col>3</xdr:col>
      <xdr:colOff>2438400</xdr:colOff>
      <xdr:row>23</xdr:row>
      <xdr:rowOff>1390650</xdr:rowOff>
    </xdr:to>
    <xdr:pic>
      <xdr:nvPicPr>
        <xdr:cNvPr id="71" name="Picture 28">
          <a:extLst>
            <a:ext uri="{FF2B5EF4-FFF2-40B4-BE49-F238E27FC236}">
              <a16:creationId xmlns:a16="http://schemas.microsoft.com/office/drawing/2014/main" id="{7BC911F1-EAC2-4939-AFCD-07E78A30F3FB}"/>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l="27650" t="11496" r="31797" b="7392"/>
        <a:stretch/>
      </xdr:blipFill>
      <xdr:spPr bwMode="auto">
        <a:xfrm>
          <a:off x="6600824" y="30041850"/>
          <a:ext cx="838201" cy="12096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3</xdr:col>
      <xdr:colOff>838199</xdr:colOff>
      <xdr:row>22</xdr:row>
      <xdr:rowOff>1409700</xdr:rowOff>
    </xdr:from>
    <xdr:to>
      <xdr:col>3</xdr:col>
      <xdr:colOff>1685924</xdr:colOff>
      <xdr:row>23</xdr:row>
      <xdr:rowOff>1381125</xdr:rowOff>
    </xdr:to>
    <xdr:pic>
      <xdr:nvPicPr>
        <xdr:cNvPr id="72" name="Picture 24">
          <a:extLst>
            <a:ext uri="{FF2B5EF4-FFF2-40B4-BE49-F238E27FC236}">
              <a16:creationId xmlns:a16="http://schemas.microsoft.com/office/drawing/2014/main" id="{767A7F46-0A24-4D26-AE56-57BE4951FAA7}"/>
            </a:ext>
          </a:extLst>
        </xdr:cNvPr>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l="25381" r="29442"/>
        <a:stretch/>
      </xdr:blipFill>
      <xdr:spPr bwMode="auto">
        <a:xfrm flipH="1">
          <a:off x="5838824" y="29841825"/>
          <a:ext cx="847725" cy="14001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0</xdr:col>
      <xdr:colOff>57150</xdr:colOff>
      <xdr:row>24</xdr:row>
      <xdr:rowOff>66675</xdr:rowOff>
    </xdr:from>
    <xdr:to>
      <xdr:col>4</xdr:col>
      <xdr:colOff>863744</xdr:colOff>
      <xdr:row>43</xdr:row>
      <xdr:rowOff>104775</xdr:rowOff>
    </xdr:to>
    <xdr:pic>
      <xdr:nvPicPr>
        <xdr:cNvPr id="73" name="Рисунок 72">
          <a:extLst>
            <a:ext uri="{FF2B5EF4-FFF2-40B4-BE49-F238E27FC236}">
              <a16:creationId xmlns:a16="http://schemas.microsoft.com/office/drawing/2014/main" id="{A9C921BA-070B-7B45-F12A-7C4109F5C47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7150" y="32785050"/>
          <a:ext cx="9007619" cy="3476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42</xdr:col>
      <xdr:colOff>99391</xdr:colOff>
      <xdr:row>80</xdr:row>
      <xdr:rowOff>16564</xdr:rowOff>
    </xdr:from>
    <xdr:to>
      <xdr:col>47</xdr:col>
      <xdr:colOff>104361</xdr:colOff>
      <xdr:row>90</xdr:row>
      <xdr:rowOff>87558</xdr:rowOff>
    </xdr:to>
    <xdr:pic>
      <xdr:nvPicPr>
        <xdr:cNvPr id="3" name="Рисунок 2">
          <a:extLst>
            <a:ext uri="{FF2B5EF4-FFF2-40B4-BE49-F238E27FC236}">
              <a16:creationId xmlns:a16="http://schemas.microsoft.com/office/drawing/2014/main" id="{81DF2F07-5EFD-4037-9F60-21707E2F713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8041" y="9312964"/>
          <a:ext cx="652670" cy="1213994"/>
        </a:xfrm>
        <a:prstGeom prst="rect">
          <a:avLst/>
        </a:prstGeom>
      </xdr:spPr>
    </xdr:pic>
    <xdr:clientData/>
  </xdr:twoCellAnchor>
  <xdr:twoCellAnchor editAs="oneCell">
    <xdr:from>
      <xdr:col>52</xdr:col>
      <xdr:colOff>82825</xdr:colOff>
      <xdr:row>80</xdr:row>
      <xdr:rowOff>2</xdr:rowOff>
    </xdr:from>
    <xdr:to>
      <xdr:col>58</xdr:col>
      <xdr:colOff>40997</xdr:colOff>
      <xdr:row>90</xdr:row>
      <xdr:rowOff>98541</xdr:rowOff>
    </xdr:to>
    <xdr:pic>
      <xdr:nvPicPr>
        <xdr:cNvPr id="4" name="Рисунок 3">
          <a:extLst>
            <a:ext uri="{FF2B5EF4-FFF2-40B4-BE49-F238E27FC236}">
              <a16:creationId xmlns:a16="http://schemas.microsoft.com/office/drawing/2014/main" id="{9558A9D0-05B6-45BD-9BE2-A9F7D6BDFA27}"/>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683525" y="9296402"/>
          <a:ext cx="710647" cy="1241539"/>
        </a:xfrm>
        <a:prstGeom prst="rect">
          <a:avLst/>
        </a:prstGeom>
      </xdr:spPr>
    </xdr:pic>
    <xdr:clientData/>
  </xdr:twoCellAnchor>
  <xdr:twoCellAnchor editAs="oneCell">
    <xdr:from>
      <xdr:col>62</xdr:col>
      <xdr:colOff>99392</xdr:colOff>
      <xdr:row>79</xdr:row>
      <xdr:rowOff>107675</xdr:rowOff>
    </xdr:from>
    <xdr:to>
      <xdr:col>68</xdr:col>
      <xdr:colOff>19880</xdr:colOff>
      <xdr:row>90</xdr:row>
      <xdr:rowOff>80637</xdr:rowOff>
    </xdr:to>
    <xdr:pic>
      <xdr:nvPicPr>
        <xdr:cNvPr id="5" name="Рисунок 4">
          <a:extLst>
            <a:ext uri="{FF2B5EF4-FFF2-40B4-BE49-F238E27FC236}">
              <a16:creationId xmlns:a16="http://schemas.microsoft.com/office/drawing/2014/main" id="{065E1C46-E1EC-4101-9D53-4003295141C9}"/>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824042" y="9289775"/>
          <a:ext cx="644388" cy="1230262"/>
        </a:xfrm>
        <a:prstGeom prst="rect">
          <a:avLst/>
        </a:prstGeom>
      </xdr:spPr>
    </xdr:pic>
    <xdr:clientData/>
  </xdr:twoCellAnchor>
  <xdr:twoCellAnchor editAs="oneCell">
    <xdr:from>
      <xdr:col>3</xdr:col>
      <xdr:colOff>33131</xdr:colOff>
      <xdr:row>5</xdr:row>
      <xdr:rowOff>82826</xdr:rowOff>
    </xdr:from>
    <xdr:to>
      <xdr:col>6</xdr:col>
      <xdr:colOff>81428</xdr:colOff>
      <xdr:row>14</xdr:row>
      <xdr:rowOff>0</xdr:rowOff>
    </xdr:to>
    <xdr:pic>
      <xdr:nvPicPr>
        <xdr:cNvPr id="6" name="Рисунок 5">
          <a:extLst>
            <a:ext uri="{FF2B5EF4-FFF2-40B4-BE49-F238E27FC236}">
              <a16:creationId xmlns:a16="http://schemas.microsoft.com/office/drawing/2014/main" id="{EE07A3CC-E285-4CE2-A176-F97DC868B04A}"/>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80781" y="1244876"/>
          <a:ext cx="429297" cy="955399"/>
        </a:xfrm>
        <a:prstGeom prst="rect">
          <a:avLst/>
        </a:prstGeom>
      </xdr:spPr>
    </xdr:pic>
    <xdr:clientData/>
  </xdr:twoCellAnchor>
  <xdr:twoCellAnchor editAs="oneCell">
    <xdr:from>
      <xdr:col>13</xdr:col>
      <xdr:colOff>74543</xdr:colOff>
      <xdr:row>5</xdr:row>
      <xdr:rowOff>82827</xdr:rowOff>
    </xdr:from>
    <xdr:to>
      <xdr:col>17</xdr:col>
      <xdr:colOff>43484</xdr:colOff>
      <xdr:row>14</xdr:row>
      <xdr:rowOff>61251</xdr:rowOff>
    </xdr:to>
    <xdr:pic>
      <xdr:nvPicPr>
        <xdr:cNvPr id="7" name="Рисунок 6">
          <a:extLst>
            <a:ext uri="{FF2B5EF4-FFF2-40B4-BE49-F238E27FC236}">
              <a16:creationId xmlns:a16="http://schemas.microsoft.com/office/drawing/2014/main" id="{A66E8920-DCC9-48FA-A043-08B1F9BEA8B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69943" y="1244877"/>
          <a:ext cx="473766" cy="1016649"/>
        </a:xfrm>
        <a:prstGeom prst="rect">
          <a:avLst/>
        </a:prstGeom>
      </xdr:spPr>
    </xdr:pic>
    <xdr:clientData/>
  </xdr:twoCellAnchor>
  <xdr:twoCellAnchor editAs="oneCell">
    <xdr:from>
      <xdr:col>23</xdr:col>
      <xdr:colOff>57979</xdr:colOff>
      <xdr:row>5</xdr:row>
      <xdr:rowOff>74542</xdr:rowOff>
    </xdr:from>
    <xdr:to>
      <xdr:col>27</xdr:col>
      <xdr:colOff>15093</xdr:colOff>
      <xdr:row>14</xdr:row>
      <xdr:rowOff>91109</xdr:rowOff>
    </xdr:to>
    <xdr:pic>
      <xdr:nvPicPr>
        <xdr:cNvPr id="8" name="Рисунок 7">
          <a:extLst>
            <a:ext uri="{FF2B5EF4-FFF2-40B4-BE49-F238E27FC236}">
              <a16:creationId xmlns:a16="http://schemas.microsoft.com/office/drawing/2014/main" id="{C9E10A0C-1A6D-4B36-BFD6-D0BBD7C257A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401129" y="1236592"/>
          <a:ext cx="471464" cy="1054792"/>
        </a:xfrm>
        <a:prstGeom prst="rect">
          <a:avLst/>
        </a:prstGeom>
      </xdr:spPr>
    </xdr:pic>
    <xdr:clientData/>
  </xdr:twoCellAnchor>
  <xdr:twoCellAnchor editAs="oneCell">
    <xdr:from>
      <xdr:col>34</xdr:col>
      <xdr:colOff>49695</xdr:colOff>
      <xdr:row>5</xdr:row>
      <xdr:rowOff>74542</xdr:rowOff>
    </xdr:from>
    <xdr:to>
      <xdr:col>37</xdr:col>
      <xdr:colOff>40999</xdr:colOff>
      <xdr:row>14</xdr:row>
      <xdr:rowOff>50224</xdr:rowOff>
    </xdr:to>
    <xdr:pic>
      <xdr:nvPicPr>
        <xdr:cNvPr id="9" name="Рисунок 8">
          <a:extLst>
            <a:ext uri="{FF2B5EF4-FFF2-40B4-BE49-F238E27FC236}">
              <a16:creationId xmlns:a16="http://schemas.microsoft.com/office/drawing/2014/main" id="{A8CE758F-FD6A-43EC-BA9F-4F2F9329049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497745" y="1236592"/>
          <a:ext cx="400879" cy="1013907"/>
        </a:xfrm>
        <a:prstGeom prst="rect">
          <a:avLst/>
        </a:prstGeom>
      </xdr:spPr>
    </xdr:pic>
    <xdr:clientData/>
  </xdr:twoCellAnchor>
  <xdr:twoCellAnchor editAs="oneCell">
    <xdr:from>
      <xdr:col>44</xdr:col>
      <xdr:colOff>33130</xdr:colOff>
      <xdr:row>5</xdr:row>
      <xdr:rowOff>57979</xdr:rowOff>
    </xdr:from>
    <xdr:to>
      <xdr:col>47</xdr:col>
      <xdr:colOff>92637</xdr:colOff>
      <xdr:row>14</xdr:row>
      <xdr:rowOff>66261</xdr:rowOff>
    </xdr:to>
    <xdr:pic>
      <xdr:nvPicPr>
        <xdr:cNvPr id="10" name="Рисунок 9">
          <a:extLst>
            <a:ext uri="{FF2B5EF4-FFF2-40B4-BE49-F238E27FC236}">
              <a16:creationId xmlns:a16="http://schemas.microsoft.com/office/drawing/2014/main" id="{6DBE0FEB-CF95-4F8A-AAAE-BAE67AAC482E}"/>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4700380" y="1220029"/>
          <a:ext cx="478607" cy="1046507"/>
        </a:xfrm>
        <a:prstGeom prst="rect">
          <a:avLst/>
        </a:prstGeom>
      </xdr:spPr>
    </xdr:pic>
    <xdr:clientData/>
  </xdr:twoCellAnchor>
  <xdr:twoCellAnchor editAs="oneCell">
    <xdr:from>
      <xdr:col>53</xdr:col>
      <xdr:colOff>49696</xdr:colOff>
      <xdr:row>5</xdr:row>
      <xdr:rowOff>41413</xdr:rowOff>
    </xdr:from>
    <xdr:to>
      <xdr:col>57</xdr:col>
      <xdr:colOff>35128</xdr:colOff>
      <xdr:row>14</xdr:row>
      <xdr:rowOff>91109</xdr:rowOff>
    </xdr:to>
    <xdr:pic>
      <xdr:nvPicPr>
        <xdr:cNvPr id="11" name="Рисунок 10">
          <a:extLst>
            <a:ext uri="{FF2B5EF4-FFF2-40B4-BE49-F238E27FC236}">
              <a16:creationId xmlns:a16="http://schemas.microsoft.com/office/drawing/2014/main" id="{7F30A355-D349-420F-80AA-DD9BF1A7FF9F}"/>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5764696" y="1203463"/>
          <a:ext cx="509307" cy="1087921"/>
        </a:xfrm>
        <a:prstGeom prst="rect">
          <a:avLst/>
        </a:prstGeom>
      </xdr:spPr>
    </xdr:pic>
    <xdr:clientData/>
  </xdr:twoCellAnchor>
  <xdr:twoCellAnchor editAs="oneCell">
    <xdr:from>
      <xdr:col>63</xdr:col>
      <xdr:colOff>74544</xdr:colOff>
      <xdr:row>5</xdr:row>
      <xdr:rowOff>33132</xdr:rowOff>
    </xdr:from>
    <xdr:to>
      <xdr:col>67</xdr:col>
      <xdr:colOff>53009</xdr:colOff>
      <xdr:row>14</xdr:row>
      <xdr:rowOff>55801</xdr:rowOff>
    </xdr:to>
    <xdr:pic>
      <xdr:nvPicPr>
        <xdr:cNvPr id="12" name="Рисунок 11">
          <a:extLst>
            <a:ext uri="{FF2B5EF4-FFF2-40B4-BE49-F238E27FC236}">
              <a16:creationId xmlns:a16="http://schemas.microsoft.com/office/drawing/2014/main" id="{DA49F926-E22C-4BFD-843C-E8D7F6284E61}"/>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913494" y="1195182"/>
          <a:ext cx="473765" cy="1060894"/>
        </a:xfrm>
        <a:prstGeom prst="rect">
          <a:avLst/>
        </a:prstGeom>
      </xdr:spPr>
    </xdr:pic>
    <xdr:clientData/>
  </xdr:twoCellAnchor>
  <xdr:twoCellAnchor editAs="oneCell">
    <xdr:from>
      <xdr:col>2</xdr:col>
      <xdr:colOff>107674</xdr:colOff>
      <xdr:row>19</xdr:row>
      <xdr:rowOff>41413</xdr:rowOff>
    </xdr:from>
    <xdr:to>
      <xdr:col>8</xdr:col>
      <xdr:colOff>44726</xdr:colOff>
      <xdr:row>27</xdr:row>
      <xdr:rowOff>49582</xdr:rowOff>
    </xdr:to>
    <xdr:pic>
      <xdr:nvPicPr>
        <xdr:cNvPr id="13" name="Рисунок 12">
          <a:extLst>
            <a:ext uri="{FF2B5EF4-FFF2-40B4-BE49-F238E27FC236}">
              <a16:creationId xmlns:a16="http://schemas.microsoft.com/office/drawing/2014/main" id="{4D533F93-C125-4019-8AAF-3FE892F0D3E9}"/>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241024" y="2717938"/>
          <a:ext cx="660952" cy="932094"/>
        </a:xfrm>
        <a:prstGeom prst="rect">
          <a:avLst/>
        </a:prstGeom>
      </xdr:spPr>
    </xdr:pic>
    <xdr:clientData/>
  </xdr:twoCellAnchor>
  <xdr:twoCellAnchor editAs="oneCell">
    <xdr:from>
      <xdr:col>12</xdr:col>
      <xdr:colOff>91109</xdr:colOff>
      <xdr:row>19</xdr:row>
      <xdr:rowOff>33131</xdr:rowOff>
    </xdr:from>
    <xdr:to>
      <xdr:col>18</xdr:col>
      <xdr:colOff>26918</xdr:colOff>
      <xdr:row>27</xdr:row>
      <xdr:rowOff>80477</xdr:rowOff>
    </xdr:to>
    <xdr:pic>
      <xdr:nvPicPr>
        <xdr:cNvPr id="14" name="Рисунок 13">
          <a:extLst>
            <a:ext uri="{FF2B5EF4-FFF2-40B4-BE49-F238E27FC236}">
              <a16:creationId xmlns:a16="http://schemas.microsoft.com/office/drawing/2014/main" id="{C8D50A9B-A82D-4B5C-B062-E574B5E1ED4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272209" y="2709656"/>
          <a:ext cx="669234" cy="971271"/>
        </a:xfrm>
        <a:prstGeom prst="rect">
          <a:avLst/>
        </a:prstGeom>
      </xdr:spPr>
    </xdr:pic>
    <xdr:clientData/>
  </xdr:twoCellAnchor>
  <xdr:twoCellAnchor editAs="oneCell">
    <xdr:from>
      <xdr:col>23</xdr:col>
      <xdr:colOff>8283</xdr:colOff>
      <xdr:row>19</xdr:row>
      <xdr:rowOff>49697</xdr:rowOff>
    </xdr:from>
    <xdr:to>
      <xdr:col>28</xdr:col>
      <xdr:colOff>34063</xdr:colOff>
      <xdr:row>27</xdr:row>
      <xdr:rowOff>49696</xdr:rowOff>
    </xdr:to>
    <xdr:pic>
      <xdr:nvPicPr>
        <xdr:cNvPr id="15" name="Рисунок 14">
          <a:extLst>
            <a:ext uri="{FF2B5EF4-FFF2-40B4-BE49-F238E27FC236}">
              <a16:creationId xmlns:a16="http://schemas.microsoft.com/office/drawing/2014/main" id="{2C57CD99-CEC2-4EFF-B5BF-B8D135CBE88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2351433" y="2726222"/>
          <a:ext cx="654430" cy="923924"/>
        </a:xfrm>
        <a:prstGeom prst="rect">
          <a:avLst/>
        </a:prstGeom>
      </xdr:spPr>
    </xdr:pic>
    <xdr:clientData/>
  </xdr:twoCellAnchor>
  <xdr:twoCellAnchor editAs="oneCell">
    <xdr:from>
      <xdr:col>32</xdr:col>
      <xdr:colOff>99392</xdr:colOff>
      <xdr:row>19</xdr:row>
      <xdr:rowOff>33132</xdr:rowOff>
    </xdr:from>
    <xdr:to>
      <xdr:col>38</xdr:col>
      <xdr:colOff>48459</xdr:colOff>
      <xdr:row>27</xdr:row>
      <xdr:rowOff>99393</xdr:rowOff>
    </xdr:to>
    <xdr:pic>
      <xdr:nvPicPr>
        <xdr:cNvPr id="16" name="Рисунок 15">
          <a:extLst>
            <a:ext uri="{FF2B5EF4-FFF2-40B4-BE49-F238E27FC236}">
              <a16:creationId xmlns:a16="http://schemas.microsoft.com/office/drawing/2014/main" id="{F6DDF834-B38D-4489-B40E-8162EAF2A634}"/>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3318842" y="2709657"/>
          <a:ext cx="701542" cy="990186"/>
        </a:xfrm>
        <a:prstGeom prst="rect">
          <a:avLst/>
        </a:prstGeom>
      </xdr:spPr>
    </xdr:pic>
    <xdr:clientData/>
  </xdr:twoCellAnchor>
  <xdr:twoCellAnchor editAs="oneCell">
    <xdr:from>
      <xdr:col>42</xdr:col>
      <xdr:colOff>99392</xdr:colOff>
      <xdr:row>19</xdr:row>
      <xdr:rowOff>8284</xdr:rowOff>
    </xdr:from>
    <xdr:to>
      <xdr:col>48</xdr:col>
      <xdr:colOff>23191</xdr:colOff>
      <xdr:row>27</xdr:row>
      <xdr:rowOff>62711</xdr:rowOff>
    </xdr:to>
    <xdr:pic>
      <xdr:nvPicPr>
        <xdr:cNvPr id="17" name="Рисунок 16">
          <a:extLst>
            <a:ext uri="{FF2B5EF4-FFF2-40B4-BE49-F238E27FC236}">
              <a16:creationId xmlns:a16="http://schemas.microsoft.com/office/drawing/2014/main" id="{AF086EC3-2BAD-421B-864B-2BF4C571F771}"/>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4538042" y="2684809"/>
          <a:ext cx="685799" cy="978352"/>
        </a:xfrm>
        <a:prstGeom prst="rect">
          <a:avLst/>
        </a:prstGeom>
      </xdr:spPr>
    </xdr:pic>
    <xdr:clientData/>
  </xdr:twoCellAnchor>
  <xdr:twoCellAnchor editAs="oneCell">
    <xdr:from>
      <xdr:col>52</xdr:col>
      <xdr:colOff>74542</xdr:colOff>
      <xdr:row>19</xdr:row>
      <xdr:rowOff>8282</xdr:rowOff>
    </xdr:from>
    <xdr:to>
      <xdr:col>58</xdr:col>
      <xdr:colOff>24433</xdr:colOff>
      <xdr:row>27</xdr:row>
      <xdr:rowOff>78238</xdr:rowOff>
    </xdr:to>
    <xdr:pic>
      <xdr:nvPicPr>
        <xdr:cNvPr id="18" name="Рисунок 17">
          <a:extLst>
            <a:ext uri="{FF2B5EF4-FFF2-40B4-BE49-F238E27FC236}">
              <a16:creationId xmlns:a16="http://schemas.microsoft.com/office/drawing/2014/main" id="{6E072B66-685D-48F2-AC81-D7063CB925BE}"/>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5675242" y="2684807"/>
          <a:ext cx="702366" cy="993881"/>
        </a:xfrm>
        <a:prstGeom prst="rect">
          <a:avLst/>
        </a:prstGeom>
      </xdr:spPr>
    </xdr:pic>
    <xdr:clientData/>
  </xdr:twoCellAnchor>
  <xdr:twoCellAnchor editAs="oneCell">
    <xdr:from>
      <xdr:col>62</xdr:col>
      <xdr:colOff>66259</xdr:colOff>
      <xdr:row>19</xdr:row>
      <xdr:rowOff>8283</xdr:rowOff>
    </xdr:from>
    <xdr:to>
      <xdr:col>68</xdr:col>
      <xdr:colOff>36444</xdr:colOff>
      <xdr:row>27</xdr:row>
      <xdr:rowOff>68607</xdr:rowOff>
    </xdr:to>
    <xdr:pic>
      <xdr:nvPicPr>
        <xdr:cNvPr id="19" name="Рисунок 18">
          <a:extLst>
            <a:ext uri="{FF2B5EF4-FFF2-40B4-BE49-F238E27FC236}">
              <a16:creationId xmlns:a16="http://schemas.microsoft.com/office/drawing/2014/main" id="{43EC54E7-1855-4952-BDD1-310676DC9BA3}"/>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6790909" y="2684808"/>
          <a:ext cx="694085" cy="984249"/>
        </a:xfrm>
        <a:prstGeom prst="rect">
          <a:avLst/>
        </a:prstGeom>
      </xdr:spPr>
    </xdr:pic>
    <xdr:clientData/>
  </xdr:twoCellAnchor>
  <xdr:twoCellAnchor editAs="oneCell">
    <xdr:from>
      <xdr:col>3</xdr:col>
      <xdr:colOff>99392</xdr:colOff>
      <xdr:row>31</xdr:row>
      <xdr:rowOff>99390</xdr:rowOff>
    </xdr:from>
    <xdr:to>
      <xdr:col>7</xdr:col>
      <xdr:colOff>35018</xdr:colOff>
      <xdr:row>42</xdr:row>
      <xdr:rowOff>82825</xdr:rowOff>
    </xdr:to>
    <xdr:pic>
      <xdr:nvPicPr>
        <xdr:cNvPr id="20" name="Рисунок 19">
          <a:extLst>
            <a:ext uri="{FF2B5EF4-FFF2-40B4-BE49-F238E27FC236}">
              <a16:creationId xmlns:a16="http://schemas.microsoft.com/office/drawing/2014/main" id="{BC565D87-B8F1-4B31-A09F-5994673BE25B}"/>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347042" y="4061790"/>
          <a:ext cx="430926" cy="1269310"/>
        </a:xfrm>
        <a:prstGeom prst="rect">
          <a:avLst/>
        </a:prstGeom>
      </xdr:spPr>
    </xdr:pic>
    <xdr:clientData/>
  </xdr:twoCellAnchor>
  <xdr:twoCellAnchor editAs="oneCell">
    <xdr:from>
      <xdr:col>14</xdr:col>
      <xdr:colOff>8282</xdr:colOff>
      <xdr:row>31</xdr:row>
      <xdr:rowOff>57979</xdr:rowOff>
    </xdr:from>
    <xdr:to>
      <xdr:col>17</xdr:col>
      <xdr:colOff>67328</xdr:colOff>
      <xdr:row>42</xdr:row>
      <xdr:rowOff>91109</xdr:rowOff>
    </xdr:to>
    <xdr:pic>
      <xdr:nvPicPr>
        <xdr:cNvPr id="21" name="Рисунок 20">
          <a:extLst>
            <a:ext uri="{FF2B5EF4-FFF2-40B4-BE49-F238E27FC236}">
              <a16:creationId xmlns:a16="http://schemas.microsoft.com/office/drawing/2014/main" id="{BAE27214-1A9D-4D41-B191-C8AD91ADC90E}"/>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417982" y="4020379"/>
          <a:ext cx="449571" cy="1319005"/>
        </a:xfrm>
        <a:prstGeom prst="rect">
          <a:avLst/>
        </a:prstGeom>
      </xdr:spPr>
    </xdr:pic>
    <xdr:clientData/>
  </xdr:twoCellAnchor>
  <xdr:twoCellAnchor editAs="oneCell">
    <xdr:from>
      <xdr:col>23</xdr:col>
      <xdr:colOff>99392</xdr:colOff>
      <xdr:row>31</xdr:row>
      <xdr:rowOff>66261</xdr:rowOff>
    </xdr:from>
    <xdr:to>
      <xdr:col>27</xdr:col>
      <xdr:colOff>21656</xdr:colOff>
      <xdr:row>42</xdr:row>
      <xdr:rowOff>82826</xdr:rowOff>
    </xdr:to>
    <xdr:pic>
      <xdr:nvPicPr>
        <xdr:cNvPr id="22" name="Рисунок 21">
          <a:extLst>
            <a:ext uri="{FF2B5EF4-FFF2-40B4-BE49-F238E27FC236}">
              <a16:creationId xmlns:a16="http://schemas.microsoft.com/office/drawing/2014/main" id="{268CBBC8-2EB3-4DAD-A6C2-8023FB93F786}"/>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2442542" y="4028661"/>
          <a:ext cx="436614" cy="1302440"/>
        </a:xfrm>
        <a:prstGeom prst="rect">
          <a:avLst/>
        </a:prstGeom>
      </xdr:spPr>
    </xdr:pic>
    <xdr:clientData/>
  </xdr:twoCellAnchor>
  <xdr:twoCellAnchor editAs="oneCell">
    <xdr:from>
      <xdr:col>34</xdr:col>
      <xdr:colOff>33129</xdr:colOff>
      <xdr:row>31</xdr:row>
      <xdr:rowOff>41414</xdr:rowOff>
    </xdr:from>
    <xdr:to>
      <xdr:col>37</xdr:col>
      <xdr:colOff>48385</xdr:colOff>
      <xdr:row>42</xdr:row>
      <xdr:rowOff>82826</xdr:rowOff>
    </xdr:to>
    <xdr:pic>
      <xdr:nvPicPr>
        <xdr:cNvPr id="23" name="Рисунок 22">
          <a:extLst>
            <a:ext uri="{FF2B5EF4-FFF2-40B4-BE49-F238E27FC236}">
              <a16:creationId xmlns:a16="http://schemas.microsoft.com/office/drawing/2014/main" id="{132612AC-E8B3-4F94-9B74-EBE1F7AFA0C2}"/>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3481179" y="4003814"/>
          <a:ext cx="424831" cy="1327287"/>
        </a:xfrm>
        <a:prstGeom prst="rect">
          <a:avLst/>
        </a:prstGeom>
      </xdr:spPr>
    </xdr:pic>
    <xdr:clientData/>
  </xdr:twoCellAnchor>
  <xdr:twoCellAnchor editAs="oneCell">
    <xdr:from>
      <xdr:col>44</xdr:col>
      <xdr:colOff>0</xdr:colOff>
      <xdr:row>31</xdr:row>
      <xdr:rowOff>33130</xdr:rowOff>
    </xdr:from>
    <xdr:to>
      <xdr:col>47</xdr:col>
      <xdr:colOff>27632</xdr:colOff>
      <xdr:row>42</xdr:row>
      <xdr:rowOff>107673</xdr:rowOff>
    </xdr:to>
    <xdr:pic>
      <xdr:nvPicPr>
        <xdr:cNvPr id="24" name="Рисунок 23">
          <a:extLst>
            <a:ext uri="{FF2B5EF4-FFF2-40B4-BE49-F238E27FC236}">
              <a16:creationId xmlns:a16="http://schemas.microsoft.com/office/drawing/2014/main" id="{E949364E-540F-4AB8-913D-1BB26EA1B837}"/>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4667250" y="3995530"/>
          <a:ext cx="446732" cy="1360418"/>
        </a:xfrm>
        <a:prstGeom prst="rect">
          <a:avLst/>
        </a:prstGeom>
      </xdr:spPr>
    </xdr:pic>
    <xdr:clientData/>
  </xdr:twoCellAnchor>
  <xdr:twoCellAnchor editAs="oneCell">
    <xdr:from>
      <xdr:col>54</xdr:col>
      <xdr:colOff>16563</xdr:colOff>
      <xdr:row>31</xdr:row>
      <xdr:rowOff>24849</xdr:rowOff>
    </xdr:from>
    <xdr:to>
      <xdr:col>57</xdr:col>
      <xdr:colOff>55907</xdr:colOff>
      <xdr:row>42</xdr:row>
      <xdr:rowOff>108977</xdr:rowOff>
    </xdr:to>
    <xdr:pic>
      <xdr:nvPicPr>
        <xdr:cNvPr id="25" name="Рисунок 24">
          <a:extLst>
            <a:ext uri="{FF2B5EF4-FFF2-40B4-BE49-F238E27FC236}">
              <a16:creationId xmlns:a16="http://schemas.microsoft.com/office/drawing/2014/main" id="{1A27B0E6-21E1-42F4-A098-0C47B6C63726}"/>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5845863" y="3987249"/>
          <a:ext cx="448919" cy="1370003"/>
        </a:xfrm>
        <a:prstGeom prst="rect">
          <a:avLst/>
        </a:prstGeom>
      </xdr:spPr>
    </xdr:pic>
    <xdr:clientData/>
  </xdr:twoCellAnchor>
  <xdr:twoCellAnchor editAs="oneCell">
    <xdr:from>
      <xdr:col>64</xdr:col>
      <xdr:colOff>24848</xdr:colOff>
      <xdr:row>31</xdr:row>
      <xdr:rowOff>8282</xdr:rowOff>
    </xdr:from>
    <xdr:to>
      <xdr:col>67</xdr:col>
      <xdr:colOff>82322</xdr:colOff>
      <xdr:row>42</xdr:row>
      <xdr:rowOff>99390</xdr:rowOff>
    </xdr:to>
    <xdr:pic>
      <xdr:nvPicPr>
        <xdr:cNvPr id="26" name="Рисунок 25">
          <a:extLst>
            <a:ext uri="{FF2B5EF4-FFF2-40B4-BE49-F238E27FC236}">
              <a16:creationId xmlns:a16="http://schemas.microsoft.com/office/drawing/2014/main" id="{6322B834-A0F8-4240-8B53-3CF8A171994E}"/>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6978098" y="3970682"/>
          <a:ext cx="438474" cy="1376983"/>
        </a:xfrm>
        <a:prstGeom prst="rect">
          <a:avLst/>
        </a:prstGeom>
      </xdr:spPr>
    </xdr:pic>
    <xdr:clientData/>
  </xdr:twoCellAnchor>
  <xdr:twoCellAnchor editAs="oneCell">
    <xdr:from>
      <xdr:col>2</xdr:col>
      <xdr:colOff>91109</xdr:colOff>
      <xdr:row>48</xdr:row>
      <xdr:rowOff>8285</xdr:rowOff>
    </xdr:from>
    <xdr:to>
      <xdr:col>7</xdr:col>
      <xdr:colOff>109331</xdr:colOff>
      <xdr:row>58</xdr:row>
      <xdr:rowOff>60464</xdr:rowOff>
    </xdr:to>
    <xdr:pic>
      <xdr:nvPicPr>
        <xdr:cNvPr id="27" name="Рисунок 26">
          <a:extLst>
            <a:ext uri="{FF2B5EF4-FFF2-40B4-BE49-F238E27FC236}">
              <a16:creationId xmlns:a16="http://schemas.microsoft.com/office/drawing/2014/main" id="{8FCED0AA-C0D7-45CD-B368-EC6842CB8E8D}"/>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24459" y="5847110"/>
          <a:ext cx="627822" cy="1195179"/>
        </a:xfrm>
        <a:prstGeom prst="rect">
          <a:avLst/>
        </a:prstGeom>
      </xdr:spPr>
    </xdr:pic>
    <xdr:clientData/>
  </xdr:twoCellAnchor>
  <xdr:twoCellAnchor editAs="oneCell">
    <xdr:from>
      <xdr:col>13</xdr:col>
      <xdr:colOff>8283</xdr:colOff>
      <xdr:row>48</xdr:row>
      <xdr:rowOff>2</xdr:rowOff>
    </xdr:from>
    <xdr:to>
      <xdr:col>18</xdr:col>
      <xdr:colOff>33977</xdr:colOff>
      <xdr:row>58</xdr:row>
      <xdr:rowOff>74544</xdr:rowOff>
    </xdr:to>
    <xdr:pic>
      <xdr:nvPicPr>
        <xdr:cNvPr id="28" name="Рисунок 27">
          <a:extLst>
            <a:ext uri="{FF2B5EF4-FFF2-40B4-BE49-F238E27FC236}">
              <a16:creationId xmlns:a16="http://schemas.microsoft.com/office/drawing/2014/main" id="{A6D0E4F3-5471-4CDE-851F-A6E1BA71ECD6}"/>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1303683" y="5838827"/>
          <a:ext cx="644819" cy="1217542"/>
        </a:xfrm>
        <a:prstGeom prst="rect">
          <a:avLst/>
        </a:prstGeom>
      </xdr:spPr>
    </xdr:pic>
    <xdr:clientData/>
  </xdr:twoCellAnchor>
  <xdr:twoCellAnchor editAs="oneCell">
    <xdr:from>
      <xdr:col>22</xdr:col>
      <xdr:colOff>82825</xdr:colOff>
      <xdr:row>48</xdr:row>
      <xdr:rowOff>0</xdr:rowOff>
    </xdr:from>
    <xdr:to>
      <xdr:col>27</xdr:col>
      <xdr:colOff>106845</xdr:colOff>
      <xdr:row>58</xdr:row>
      <xdr:rowOff>82247</xdr:rowOff>
    </xdr:to>
    <xdr:pic>
      <xdr:nvPicPr>
        <xdr:cNvPr id="29" name="Рисунок 28">
          <a:extLst>
            <a:ext uri="{FF2B5EF4-FFF2-40B4-BE49-F238E27FC236}">
              <a16:creationId xmlns:a16="http://schemas.microsoft.com/office/drawing/2014/main" id="{5E734927-06C7-406B-A647-0CE61948BB3B}"/>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2311675" y="5838825"/>
          <a:ext cx="652670" cy="1225247"/>
        </a:xfrm>
        <a:prstGeom prst="rect">
          <a:avLst/>
        </a:prstGeom>
      </xdr:spPr>
    </xdr:pic>
    <xdr:clientData/>
  </xdr:twoCellAnchor>
  <xdr:twoCellAnchor editAs="oneCell">
    <xdr:from>
      <xdr:col>33</xdr:col>
      <xdr:colOff>24848</xdr:colOff>
      <xdr:row>47</xdr:row>
      <xdr:rowOff>107674</xdr:rowOff>
    </xdr:from>
    <xdr:to>
      <xdr:col>38</xdr:col>
      <xdr:colOff>31647</xdr:colOff>
      <xdr:row>58</xdr:row>
      <xdr:rowOff>74543</xdr:rowOff>
    </xdr:to>
    <xdr:pic>
      <xdr:nvPicPr>
        <xdr:cNvPr id="30" name="Рисунок 29">
          <a:extLst>
            <a:ext uri="{FF2B5EF4-FFF2-40B4-BE49-F238E27FC236}">
              <a16:creationId xmlns:a16="http://schemas.microsoft.com/office/drawing/2014/main" id="{8D1A18B8-AA0A-4BB8-890D-4D3CC0801E4D}"/>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3358598" y="5832199"/>
          <a:ext cx="644974" cy="1224169"/>
        </a:xfrm>
        <a:prstGeom prst="rect">
          <a:avLst/>
        </a:prstGeom>
      </xdr:spPr>
    </xdr:pic>
    <xdr:clientData/>
  </xdr:twoCellAnchor>
  <xdr:twoCellAnchor editAs="oneCell">
    <xdr:from>
      <xdr:col>42</xdr:col>
      <xdr:colOff>74543</xdr:colOff>
      <xdr:row>47</xdr:row>
      <xdr:rowOff>99392</xdr:rowOff>
    </xdr:from>
    <xdr:to>
      <xdr:col>47</xdr:col>
      <xdr:colOff>82204</xdr:colOff>
      <xdr:row>58</xdr:row>
      <xdr:rowOff>91108</xdr:rowOff>
    </xdr:to>
    <xdr:pic>
      <xdr:nvPicPr>
        <xdr:cNvPr id="31" name="Рисунок 30">
          <a:extLst>
            <a:ext uri="{FF2B5EF4-FFF2-40B4-BE49-F238E27FC236}">
              <a16:creationId xmlns:a16="http://schemas.microsoft.com/office/drawing/2014/main" id="{39506E3C-6B29-41AE-8829-8577CC4FA902}"/>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4513193" y="5823917"/>
          <a:ext cx="655361" cy="1249016"/>
        </a:xfrm>
        <a:prstGeom prst="rect">
          <a:avLst/>
        </a:prstGeom>
      </xdr:spPr>
    </xdr:pic>
    <xdr:clientData/>
  </xdr:twoCellAnchor>
  <xdr:twoCellAnchor editAs="oneCell">
    <xdr:from>
      <xdr:col>53</xdr:col>
      <xdr:colOff>24848</xdr:colOff>
      <xdr:row>48</xdr:row>
      <xdr:rowOff>16566</xdr:rowOff>
    </xdr:from>
    <xdr:to>
      <xdr:col>58</xdr:col>
      <xdr:colOff>19055</xdr:colOff>
      <xdr:row>58</xdr:row>
      <xdr:rowOff>66260</xdr:rowOff>
    </xdr:to>
    <xdr:pic>
      <xdr:nvPicPr>
        <xdr:cNvPr id="32" name="Рисунок 31">
          <a:extLst>
            <a:ext uri="{FF2B5EF4-FFF2-40B4-BE49-F238E27FC236}">
              <a16:creationId xmlns:a16="http://schemas.microsoft.com/office/drawing/2014/main" id="{1C6764DD-FF44-400A-A1E1-8C71F714E947}"/>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5739848" y="5855391"/>
          <a:ext cx="632382" cy="1192694"/>
        </a:xfrm>
        <a:prstGeom prst="rect">
          <a:avLst/>
        </a:prstGeom>
      </xdr:spPr>
    </xdr:pic>
    <xdr:clientData/>
  </xdr:twoCellAnchor>
  <xdr:twoCellAnchor editAs="oneCell">
    <xdr:from>
      <xdr:col>63</xdr:col>
      <xdr:colOff>8283</xdr:colOff>
      <xdr:row>47</xdr:row>
      <xdr:rowOff>107674</xdr:rowOff>
    </xdr:from>
    <xdr:to>
      <xdr:col>67</xdr:col>
      <xdr:colOff>109331</xdr:colOff>
      <xdr:row>59</xdr:row>
      <xdr:rowOff>2161</xdr:rowOff>
    </xdr:to>
    <xdr:pic>
      <xdr:nvPicPr>
        <xdr:cNvPr id="33" name="Рисунок 32">
          <a:extLst>
            <a:ext uri="{FF2B5EF4-FFF2-40B4-BE49-F238E27FC236}">
              <a16:creationId xmlns:a16="http://schemas.microsoft.com/office/drawing/2014/main" id="{F13AB879-64C1-4492-9A3A-69D16D1910F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6847233" y="5832199"/>
          <a:ext cx="596348" cy="1266087"/>
        </a:xfrm>
        <a:prstGeom prst="rect">
          <a:avLst/>
        </a:prstGeom>
      </xdr:spPr>
    </xdr:pic>
    <xdr:clientData/>
  </xdr:twoCellAnchor>
  <xdr:twoCellAnchor editAs="oneCell">
    <xdr:from>
      <xdr:col>3</xdr:col>
      <xdr:colOff>8284</xdr:colOff>
      <xdr:row>63</xdr:row>
      <xdr:rowOff>99391</xdr:rowOff>
    </xdr:from>
    <xdr:to>
      <xdr:col>7</xdr:col>
      <xdr:colOff>99923</xdr:colOff>
      <xdr:row>74</xdr:row>
      <xdr:rowOff>82826</xdr:rowOff>
    </xdr:to>
    <xdr:pic>
      <xdr:nvPicPr>
        <xdr:cNvPr id="34" name="Рисунок 33">
          <a:extLst>
            <a:ext uri="{FF2B5EF4-FFF2-40B4-BE49-F238E27FC236}">
              <a16:creationId xmlns:a16="http://schemas.microsoft.com/office/drawing/2014/main" id="{0A4FD01D-0784-4B0B-A9F1-19FE1B4EBD99}"/>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55934" y="7557466"/>
          <a:ext cx="586939" cy="1240735"/>
        </a:xfrm>
        <a:prstGeom prst="rect">
          <a:avLst/>
        </a:prstGeom>
      </xdr:spPr>
    </xdr:pic>
    <xdr:clientData/>
  </xdr:twoCellAnchor>
  <xdr:twoCellAnchor editAs="oneCell">
    <xdr:from>
      <xdr:col>12</xdr:col>
      <xdr:colOff>57977</xdr:colOff>
      <xdr:row>64</xdr:row>
      <xdr:rowOff>8282</xdr:rowOff>
    </xdr:from>
    <xdr:to>
      <xdr:col>18</xdr:col>
      <xdr:colOff>18635</xdr:colOff>
      <xdr:row>74</xdr:row>
      <xdr:rowOff>90595</xdr:rowOff>
    </xdr:to>
    <xdr:pic>
      <xdr:nvPicPr>
        <xdr:cNvPr id="35" name="Рисунок 34">
          <a:extLst>
            <a:ext uri="{FF2B5EF4-FFF2-40B4-BE49-F238E27FC236}">
              <a16:creationId xmlns:a16="http://schemas.microsoft.com/office/drawing/2014/main" id="{A1A934EC-7C98-4C72-B376-56A68E853B0F}"/>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1239077" y="7580657"/>
          <a:ext cx="694083" cy="1225313"/>
        </a:xfrm>
        <a:prstGeom prst="rect">
          <a:avLst/>
        </a:prstGeom>
      </xdr:spPr>
    </xdr:pic>
    <xdr:clientData/>
  </xdr:twoCellAnchor>
  <xdr:twoCellAnchor editAs="oneCell">
    <xdr:from>
      <xdr:col>23</xdr:col>
      <xdr:colOff>57980</xdr:colOff>
      <xdr:row>64</xdr:row>
      <xdr:rowOff>8284</xdr:rowOff>
    </xdr:from>
    <xdr:to>
      <xdr:col>27</xdr:col>
      <xdr:colOff>65797</xdr:colOff>
      <xdr:row>74</xdr:row>
      <xdr:rowOff>66260</xdr:rowOff>
    </xdr:to>
    <xdr:pic>
      <xdr:nvPicPr>
        <xdr:cNvPr id="36" name="Рисунок 35">
          <a:extLst>
            <a:ext uri="{FF2B5EF4-FFF2-40B4-BE49-F238E27FC236}">
              <a16:creationId xmlns:a16="http://schemas.microsoft.com/office/drawing/2014/main" id="{DB7D0F4E-6DFC-496E-81F5-0234E9EEBDA3}"/>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401130" y="7580659"/>
          <a:ext cx="522167" cy="1200976"/>
        </a:xfrm>
        <a:prstGeom prst="rect">
          <a:avLst/>
        </a:prstGeom>
      </xdr:spPr>
    </xdr:pic>
    <xdr:clientData/>
  </xdr:twoCellAnchor>
  <xdr:twoCellAnchor editAs="oneCell">
    <xdr:from>
      <xdr:col>32</xdr:col>
      <xdr:colOff>74546</xdr:colOff>
      <xdr:row>64</xdr:row>
      <xdr:rowOff>8284</xdr:rowOff>
    </xdr:from>
    <xdr:to>
      <xdr:col>38</xdr:col>
      <xdr:colOff>49284</xdr:colOff>
      <xdr:row>74</xdr:row>
      <xdr:rowOff>92662</xdr:rowOff>
    </xdr:to>
    <xdr:pic>
      <xdr:nvPicPr>
        <xdr:cNvPr id="37" name="Рисунок 36">
          <a:extLst>
            <a:ext uri="{FF2B5EF4-FFF2-40B4-BE49-F238E27FC236}">
              <a16:creationId xmlns:a16="http://schemas.microsoft.com/office/drawing/2014/main" id="{31B1BD95-DFB7-4B85-BA69-99CE572ABF14}"/>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3293996" y="7580659"/>
          <a:ext cx="727213" cy="1227378"/>
        </a:xfrm>
        <a:prstGeom prst="rect">
          <a:avLst/>
        </a:prstGeom>
      </xdr:spPr>
    </xdr:pic>
    <xdr:clientData/>
  </xdr:twoCellAnchor>
  <xdr:twoCellAnchor editAs="oneCell">
    <xdr:from>
      <xdr:col>42</xdr:col>
      <xdr:colOff>74543</xdr:colOff>
      <xdr:row>64</xdr:row>
      <xdr:rowOff>8284</xdr:rowOff>
    </xdr:from>
    <xdr:to>
      <xdr:col>48</xdr:col>
      <xdr:colOff>74421</xdr:colOff>
      <xdr:row>74</xdr:row>
      <xdr:rowOff>74543</xdr:rowOff>
    </xdr:to>
    <xdr:pic>
      <xdr:nvPicPr>
        <xdr:cNvPr id="38" name="Рисунок 37">
          <a:extLst>
            <a:ext uri="{FF2B5EF4-FFF2-40B4-BE49-F238E27FC236}">
              <a16:creationId xmlns:a16="http://schemas.microsoft.com/office/drawing/2014/main" id="{B5BFF43E-C235-4F4A-BCFD-52C9956623AE}"/>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513193" y="7580659"/>
          <a:ext cx="761878" cy="1209259"/>
        </a:xfrm>
        <a:prstGeom prst="rect">
          <a:avLst/>
        </a:prstGeom>
      </xdr:spPr>
    </xdr:pic>
    <xdr:clientData/>
  </xdr:twoCellAnchor>
  <xdr:twoCellAnchor editAs="oneCell">
    <xdr:from>
      <xdr:col>52</xdr:col>
      <xdr:colOff>74543</xdr:colOff>
      <xdr:row>64</xdr:row>
      <xdr:rowOff>8284</xdr:rowOff>
    </xdr:from>
    <xdr:to>
      <xdr:col>58</xdr:col>
      <xdr:colOff>41190</xdr:colOff>
      <xdr:row>74</xdr:row>
      <xdr:rowOff>74543</xdr:rowOff>
    </xdr:to>
    <xdr:pic>
      <xdr:nvPicPr>
        <xdr:cNvPr id="39" name="Рисунок 38">
          <a:extLst>
            <a:ext uri="{FF2B5EF4-FFF2-40B4-BE49-F238E27FC236}">
              <a16:creationId xmlns:a16="http://schemas.microsoft.com/office/drawing/2014/main" id="{AC27869B-3B9C-47BD-B63A-7E490A4C5D58}"/>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675243" y="7580659"/>
          <a:ext cx="719122" cy="1209259"/>
        </a:xfrm>
        <a:prstGeom prst="rect">
          <a:avLst/>
        </a:prstGeom>
      </xdr:spPr>
    </xdr:pic>
    <xdr:clientData/>
  </xdr:twoCellAnchor>
  <xdr:twoCellAnchor editAs="oneCell">
    <xdr:from>
      <xdr:col>63</xdr:col>
      <xdr:colOff>91109</xdr:colOff>
      <xdr:row>63</xdr:row>
      <xdr:rowOff>107673</xdr:rowOff>
    </xdr:from>
    <xdr:to>
      <xdr:col>67</xdr:col>
      <xdr:colOff>92766</xdr:colOff>
      <xdr:row>74</xdr:row>
      <xdr:rowOff>80871</xdr:rowOff>
    </xdr:to>
    <xdr:pic>
      <xdr:nvPicPr>
        <xdr:cNvPr id="40" name="Рисунок 39">
          <a:extLst>
            <a:ext uri="{FF2B5EF4-FFF2-40B4-BE49-F238E27FC236}">
              <a16:creationId xmlns:a16="http://schemas.microsoft.com/office/drawing/2014/main" id="{6E5991C6-4C73-420F-A178-05E00507FCDB}"/>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6930059" y="7565748"/>
          <a:ext cx="496957" cy="1230498"/>
        </a:xfrm>
        <a:prstGeom prst="rect">
          <a:avLst/>
        </a:prstGeom>
      </xdr:spPr>
    </xdr:pic>
    <xdr:clientData/>
  </xdr:twoCellAnchor>
  <xdr:twoCellAnchor editAs="oneCell">
    <xdr:from>
      <xdr:col>3</xdr:col>
      <xdr:colOff>33131</xdr:colOff>
      <xdr:row>79</xdr:row>
      <xdr:rowOff>99391</xdr:rowOff>
    </xdr:from>
    <xdr:to>
      <xdr:col>7</xdr:col>
      <xdr:colOff>79682</xdr:colOff>
      <xdr:row>91</xdr:row>
      <xdr:rowOff>91108</xdr:rowOff>
    </xdr:to>
    <xdr:pic>
      <xdr:nvPicPr>
        <xdr:cNvPr id="41" name="Рисунок 40">
          <a:extLst>
            <a:ext uri="{FF2B5EF4-FFF2-40B4-BE49-F238E27FC236}">
              <a16:creationId xmlns:a16="http://schemas.microsoft.com/office/drawing/2014/main" id="{2B1C07A7-2A43-492E-B110-5A25D27EF7F9}"/>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280781" y="9281491"/>
          <a:ext cx="541851" cy="1363317"/>
        </a:xfrm>
        <a:prstGeom prst="rect">
          <a:avLst/>
        </a:prstGeom>
      </xdr:spPr>
    </xdr:pic>
    <xdr:clientData/>
  </xdr:twoCellAnchor>
  <xdr:twoCellAnchor editAs="oneCell">
    <xdr:from>
      <xdr:col>13</xdr:col>
      <xdr:colOff>41414</xdr:colOff>
      <xdr:row>79</xdr:row>
      <xdr:rowOff>107675</xdr:rowOff>
    </xdr:from>
    <xdr:to>
      <xdr:col>17</xdr:col>
      <xdr:colOff>44911</xdr:colOff>
      <xdr:row>91</xdr:row>
      <xdr:rowOff>91108</xdr:rowOff>
    </xdr:to>
    <xdr:pic>
      <xdr:nvPicPr>
        <xdr:cNvPr id="42" name="Рисунок 41">
          <a:extLst>
            <a:ext uri="{FF2B5EF4-FFF2-40B4-BE49-F238E27FC236}">
              <a16:creationId xmlns:a16="http://schemas.microsoft.com/office/drawing/2014/main" id="{EBCB4161-30F6-4998-BE5A-F0F80D2A6372}"/>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1336814" y="9289775"/>
          <a:ext cx="508322" cy="1355033"/>
        </a:xfrm>
        <a:prstGeom prst="rect">
          <a:avLst/>
        </a:prstGeom>
      </xdr:spPr>
    </xdr:pic>
    <xdr:clientData/>
  </xdr:twoCellAnchor>
  <xdr:twoCellAnchor editAs="oneCell">
    <xdr:from>
      <xdr:col>23</xdr:col>
      <xdr:colOff>82825</xdr:colOff>
      <xdr:row>79</xdr:row>
      <xdr:rowOff>99393</xdr:rowOff>
    </xdr:from>
    <xdr:to>
      <xdr:col>27</xdr:col>
      <xdr:colOff>17798</xdr:colOff>
      <xdr:row>91</xdr:row>
      <xdr:rowOff>66260</xdr:rowOff>
    </xdr:to>
    <xdr:pic>
      <xdr:nvPicPr>
        <xdr:cNvPr id="43" name="Рисунок 42">
          <a:extLst>
            <a:ext uri="{FF2B5EF4-FFF2-40B4-BE49-F238E27FC236}">
              <a16:creationId xmlns:a16="http://schemas.microsoft.com/office/drawing/2014/main" id="{A61F7488-D44A-43AB-BF27-FE0766100F82}"/>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425975" y="9281493"/>
          <a:ext cx="449323" cy="1338467"/>
        </a:xfrm>
        <a:prstGeom prst="rect">
          <a:avLst/>
        </a:prstGeom>
      </xdr:spPr>
    </xdr:pic>
    <xdr:clientData/>
  </xdr:twoCellAnchor>
  <xdr:twoCellAnchor editAs="oneCell">
    <xdr:from>
      <xdr:col>32</xdr:col>
      <xdr:colOff>57978</xdr:colOff>
      <xdr:row>80</xdr:row>
      <xdr:rowOff>8284</xdr:rowOff>
    </xdr:from>
    <xdr:to>
      <xdr:col>37</xdr:col>
      <xdr:colOff>97321</xdr:colOff>
      <xdr:row>90</xdr:row>
      <xdr:rowOff>99396</xdr:rowOff>
    </xdr:to>
    <xdr:pic>
      <xdr:nvPicPr>
        <xdr:cNvPr id="44" name="Рисунок 43">
          <a:extLst>
            <a:ext uri="{FF2B5EF4-FFF2-40B4-BE49-F238E27FC236}">
              <a16:creationId xmlns:a16="http://schemas.microsoft.com/office/drawing/2014/main" id="{13060EAC-08A3-4CA2-82FD-D5B1E909A3BF}"/>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277428" y="9304684"/>
          <a:ext cx="677518" cy="1234112"/>
        </a:xfrm>
        <a:prstGeom prst="rect">
          <a:avLst/>
        </a:prstGeom>
      </xdr:spPr>
    </xdr:pic>
    <xdr:clientData/>
  </xdr:twoCellAnchor>
  <xdr:twoCellAnchor editAs="oneCell">
    <xdr:from>
      <xdr:col>69</xdr:col>
      <xdr:colOff>0</xdr:colOff>
      <xdr:row>0</xdr:row>
      <xdr:rowOff>657224</xdr:rowOff>
    </xdr:from>
    <xdr:to>
      <xdr:col>73</xdr:col>
      <xdr:colOff>33300</xdr:colOff>
      <xdr:row>1</xdr:row>
      <xdr:rowOff>51741</xdr:rowOff>
    </xdr:to>
    <xdr:pic>
      <xdr:nvPicPr>
        <xdr:cNvPr id="2" name="Рисунок 1">
          <a:extLst>
            <a:ext uri="{FF2B5EF4-FFF2-40B4-BE49-F238E27FC236}">
              <a16:creationId xmlns:a16="http://schemas.microsoft.com/office/drawing/2014/main" id="{0A4458BD-B4F0-4F52-A6B3-A12E8D2A26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rot="20918134">
          <a:off x="8210550" y="657224"/>
          <a:ext cx="547650" cy="547042"/>
        </a:xfrm>
        <a:prstGeom prst="rect">
          <a:avLst/>
        </a:prstGeom>
      </xdr:spPr>
    </xdr:pic>
    <xdr:clientData/>
  </xdr:twoCellAnchor>
  <xdr:twoCellAnchor editAs="oneCell">
    <xdr:from>
      <xdr:col>15</xdr:col>
      <xdr:colOff>66675</xdr:colOff>
      <xdr:row>0</xdr:row>
      <xdr:rowOff>123825</xdr:rowOff>
    </xdr:from>
    <xdr:to>
      <xdr:col>48</xdr:col>
      <xdr:colOff>66675</xdr:colOff>
      <xdr:row>0</xdr:row>
      <xdr:rowOff>990600</xdr:rowOff>
    </xdr:to>
    <xdr:pic>
      <xdr:nvPicPr>
        <xdr:cNvPr id="46" name="Рисунок 45">
          <a:extLst>
            <a:ext uri="{FF2B5EF4-FFF2-40B4-BE49-F238E27FC236}">
              <a16:creationId xmlns:a16="http://schemas.microsoft.com/office/drawing/2014/main" id="{1154A50B-96E7-418E-A01E-610D956BD57C}"/>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1628775" y="12382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1400175</xdr:colOff>
      <xdr:row>138</xdr:row>
      <xdr:rowOff>123825</xdr:rowOff>
    </xdr:from>
    <xdr:to>
      <xdr:col>3</xdr:col>
      <xdr:colOff>981075</xdr:colOff>
      <xdr:row>148</xdr:row>
      <xdr:rowOff>9525</xdr:rowOff>
    </xdr:to>
    <xdr:pic>
      <xdr:nvPicPr>
        <xdr:cNvPr id="12" name="Picture 23">
          <a:extLst>
            <a:ext uri="{FF2B5EF4-FFF2-40B4-BE49-F238E27FC236}">
              <a16:creationId xmlns:a16="http://schemas.microsoft.com/office/drawing/2014/main" id="{4C8D3B18-2AC2-4F58-B2CE-D0F41260A00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4775" y="378428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xdr:from>
      <xdr:col>2</xdr:col>
      <xdr:colOff>1552575</xdr:colOff>
      <xdr:row>139</xdr:row>
      <xdr:rowOff>95250</xdr:rowOff>
    </xdr:from>
    <xdr:to>
      <xdr:col>3</xdr:col>
      <xdr:colOff>1133475</xdr:colOff>
      <xdr:row>148</xdr:row>
      <xdr:rowOff>161925</xdr:rowOff>
    </xdr:to>
    <xdr:pic>
      <xdr:nvPicPr>
        <xdr:cNvPr id="13" name="Picture 23">
          <a:extLst>
            <a:ext uri="{FF2B5EF4-FFF2-40B4-BE49-F238E27FC236}">
              <a16:creationId xmlns:a16="http://schemas.microsoft.com/office/drawing/2014/main" id="{DF368FF0-79C2-4BAD-B59E-C7D12C29000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067175" y="37995225"/>
          <a:ext cx="2066925" cy="16954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twoCellAnchor editAs="oneCell">
    <xdr:from>
      <xdr:col>4</xdr:col>
      <xdr:colOff>781051</xdr:colOff>
      <xdr:row>0</xdr:row>
      <xdr:rowOff>685802</xdr:rowOff>
    </xdr:from>
    <xdr:to>
      <xdr:col>5</xdr:col>
      <xdr:colOff>450744</xdr:colOff>
      <xdr:row>1</xdr:row>
      <xdr:rowOff>139673</xdr:rowOff>
    </xdr:to>
    <xdr:pic>
      <xdr:nvPicPr>
        <xdr:cNvPr id="16" name="Рисунок 15">
          <a:extLst>
            <a:ext uri="{FF2B5EF4-FFF2-40B4-BE49-F238E27FC236}">
              <a16:creationId xmlns:a16="http://schemas.microsoft.com/office/drawing/2014/main" id="{673F9462-1AD4-4A84-86E0-16B099791A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20918134">
          <a:off x="8982076" y="685802"/>
          <a:ext cx="545993" cy="606396"/>
        </a:xfrm>
        <a:prstGeom prst="rect">
          <a:avLst/>
        </a:prstGeom>
      </xdr:spPr>
    </xdr:pic>
    <xdr:clientData/>
  </xdr:twoCellAnchor>
  <xdr:twoCellAnchor editAs="oneCell">
    <xdr:from>
      <xdr:col>1</xdr:col>
      <xdr:colOff>1724025</xdr:colOff>
      <xdr:row>0</xdr:row>
      <xdr:rowOff>180975</xdr:rowOff>
    </xdr:from>
    <xdr:to>
      <xdr:col>3</xdr:col>
      <xdr:colOff>952500</xdr:colOff>
      <xdr:row>0</xdr:row>
      <xdr:rowOff>1047750</xdr:rowOff>
    </xdr:to>
    <xdr:pic>
      <xdr:nvPicPr>
        <xdr:cNvPr id="2" name="Рисунок 1">
          <a:extLst>
            <a:ext uri="{FF2B5EF4-FFF2-40B4-BE49-F238E27FC236}">
              <a16:creationId xmlns:a16="http://schemas.microsoft.com/office/drawing/2014/main" id="{39BD7066-FF3B-4A44-848A-BCFC3318AB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105025" y="18097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28575</xdr:rowOff>
    </xdr:from>
    <xdr:to>
      <xdr:col>4</xdr:col>
      <xdr:colOff>838200</xdr:colOff>
      <xdr:row>3</xdr:row>
      <xdr:rowOff>3295650</xdr:rowOff>
    </xdr:to>
    <xdr:pic>
      <xdr:nvPicPr>
        <xdr:cNvPr id="3" name="Рисунок 2">
          <a:extLst>
            <a:ext uri="{FF2B5EF4-FFF2-40B4-BE49-F238E27FC236}">
              <a16:creationId xmlns:a16="http://schemas.microsoft.com/office/drawing/2014/main" id="{65A0811D-DB8E-50D4-2545-28F4E761B7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1590675"/>
          <a:ext cx="9039225" cy="326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657225</xdr:colOff>
      <xdr:row>5</xdr:row>
      <xdr:rowOff>180975</xdr:rowOff>
    </xdr:from>
    <xdr:to>
      <xdr:col>3</xdr:col>
      <xdr:colOff>2828925</xdr:colOff>
      <xdr:row>5</xdr:row>
      <xdr:rowOff>3143250</xdr:rowOff>
    </xdr:to>
    <xdr:pic>
      <xdr:nvPicPr>
        <xdr:cNvPr id="4" name="Рисунок 3">
          <a:extLst>
            <a:ext uri="{FF2B5EF4-FFF2-40B4-BE49-F238E27FC236}">
              <a16:creationId xmlns:a16="http://schemas.microsoft.com/office/drawing/2014/main" id="{649E9708-1CFC-4FA9-4047-E0914CC9F7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171825" y="5400675"/>
          <a:ext cx="4657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6</xdr:row>
      <xdr:rowOff>152400</xdr:rowOff>
    </xdr:from>
    <xdr:to>
      <xdr:col>3</xdr:col>
      <xdr:colOff>2962275</xdr:colOff>
      <xdr:row>6</xdr:row>
      <xdr:rowOff>3219450</xdr:rowOff>
    </xdr:to>
    <xdr:pic>
      <xdr:nvPicPr>
        <xdr:cNvPr id="5" name="Рисунок 4">
          <a:extLst>
            <a:ext uri="{FF2B5EF4-FFF2-40B4-BE49-F238E27FC236}">
              <a16:creationId xmlns:a16="http://schemas.microsoft.com/office/drawing/2014/main" id="{B30A45FB-507F-D563-969E-096115EB0B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3038475" y="8610600"/>
          <a:ext cx="4924425"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7</xdr:row>
      <xdr:rowOff>9525</xdr:rowOff>
    </xdr:from>
    <xdr:to>
      <xdr:col>3</xdr:col>
      <xdr:colOff>2876550</xdr:colOff>
      <xdr:row>7</xdr:row>
      <xdr:rowOff>3076575</xdr:rowOff>
    </xdr:to>
    <xdr:pic>
      <xdr:nvPicPr>
        <xdr:cNvPr id="6" name="Рисунок 5">
          <a:extLst>
            <a:ext uri="{FF2B5EF4-FFF2-40B4-BE49-F238E27FC236}">
              <a16:creationId xmlns:a16="http://schemas.microsoft.com/office/drawing/2014/main" id="{0BC2A502-7FD0-3E8D-A0B0-B4D01962B70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086100" y="11706225"/>
          <a:ext cx="4791075"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8</xdr:row>
      <xdr:rowOff>95250</xdr:rowOff>
    </xdr:from>
    <xdr:to>
      <xdr:col>3</xdr:col>
      <xdr:colOff>2914650</xdr:colOff>
      <xdr:row>8</xdr:row>
      <xdr:rowOff>3171825</xdr:rowOff>
    </xdr:to>
    <xdr:pic>
      <xdr:nvPicPr>
        <xdr:cNvPr id="7" name="Рисунок 6">
          <a:extLst>
            <a:ext uri="{FF2B5EF4-FFF2-40B4-BE49-F238E27FC236}">
              <a16:creationId xmlns:a16="http://schemas.microsoft.com/office/drawing/2014/main" id="{1529C12C-0A7C-6453-07FA-3A7DC8F5B9D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086100" y="15030450"/>
          <a:ext cx="4829175" cy="307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49697</xdr:colOff>
      <xdr:row>8</xdr:row>
      <xdr:rowOff>33132</xdr:rowOff>
    </xdr:from>
    <xdr:to>
      <xdr:col>8</xdr:col>
      <xdr:colOff>101877</xdr:colOff>
      <xdr:row>14</xdr:row>
      <xdr:rowOff>54743</xdr:rowOff>
    </xdr:to>
    <xdr:pic>
      <xdr:nvPicPr>
        <xdr:cNvPr id="3" name="Рисунок 2">
          <a:extLst>
            <a:ext uri="{FF2B5EF4-FFF2-40B4-BE49-F238E27FC236}">
              <a16:creationId xmlns:a16="http://schemas.microsoft.com/office/drawing/2014/main" id="{0A0A462A-FB46-4C9A-9E86-E318EADD0A6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8747" y="1538082"/>
          <a:ext cx="947530" cy="707410"/>
        </a:xfrm>
        <a:prstGeom prst="rect">
          <a:avLst/>
        </a:prstGeom>
      </xdr:spPr>
    </xdr:pic>
    <xdr:clientData/>
  </xdr:twoCellAnchor>
  <xdr:twoCellAnchor editAs="oneCell">
    <xdr:from>
      <xdr:col>11</xdr:col>
      <xdr:colOff>41414</xdr:colOff>
      <xdr:row>8</xdr:row>
      <xdr:rowOff>0</xdr:rowOff>
    </xdr:from>
    <xdr:to>
      <xdr:col>18</xdr:col>
      <xdr:colOff>80756</xdr:colOff>
      <xdr:row>14</xdr:row>
      <xdr:rowOff>55467</xdr:rowOff>
    </xdr:to>
    <xdr:pic>
      <xdr:nvPicPr>
        <xdr:cNvPr id="4" name="Рисунок 3">
          <a:extLst>
            <a:ext uri="{FF2B5EF4-FFF2-40B4-BE49-F238E27FC236}">
              <a16:creationId xmlns:a16="http://schemas.microsoft.com/office/drawing/2014/main" id="{02CDBAB5-5B10-4B70-9C06-F0A255E3DBF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08214" y="1504950"/>
          <a:ext cx="963267" cy="741266"/>
        </a:xfrm>
        <a:prstGeom prst="rect">
          <a:avLst/>
        </a:prstGeom>
      </xdr:spPr>
    </xdr:pic>
    <xdr:clientData/>
  </xdr:twoCellAnchor>
  <xdr:twoCellAnchor editAs="oneCell">
    <xdr:from>
      <xdr:col>21</xdr:col>
      <xdr:colOff>41412</xdr:colOff>
      <xdr:row>8</xdr:row>
      <xdr:rowOff>8283</xdr:rowOff>
    </xdr:from>
    <xdr:to>
      <xdr:col>28</xdr:col>
      <xdr:colOff>134364</xdr:colOff>
      <xdr:row>14</xdr:row>
      <xdr:rowOff>74544</xdr:rowOff>
    </xdr:to>
    <xdr:pic>
      <xdr:nvPicPr>
        <xdr:cNvPr id="5" name="Рисунок 4">
          <a:extLst>
            <a:ext uri="{FF2B5EF4-FFF2-40B4-BE49-F238E27FC236}">
              <a16:creationId xmlns:a16="http://schemas.microsoft.com/office/drawing/2014/main" id="{8E50CBE1-66BB-4100-871C-0136258FD05F}"/>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213112" y="1513233"/>
          <a:ext cx="978777" cy="752060"/>
        </a:xfrm>
        <a:prstGeom prst="rect">
          <a:avLst/>
        </a:prstGeom>
      </xdr:spPr>
    </xdr:pic>
    <xdr:clientData/>
  </xdr:twoCellAnchor>
  <xdr:twoCellAnchor editAs="oneCell">
    <xdr:from>
      <xdr:col>31</xdr:col>
      <xdr:colOff>49697</xdr:colOff>
      <xdr:row>8</xdr:row>
      <xdr:rowOff>41414</xdr:rowOff>
    </xdr:from>
    <xdr:to>
      <xdr:col>38</xdr:col>
      <xdr:colOff>45025</xdr:colOff>
      <xdr:row>14</xdr:row>
      <xdr:rowOff>107675</xdr:rowOff>
    </xdr:to>
    <xdr:pic>
      <xdr:nvPicPr>
        <xdr:cNvPr id="6" name="Рисунок 5">
          <a:extLst>
            <a:ext uri="{FF2B5EF4-FFF2-40B4-BE49-F238E27FC236}">
              <a16:creationId xmlns:a16="http://schemas.microsoft.com/office/drawing/2014/main" id="{080FBB32-8753-4F17-8C50-2F199E98781D}"/>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402497" y="1546364"/>
          <a:ext cx="966878" cy="752060"/>
        </a:xfrm>
        <a:prstGeom prst="rect">
          <a:avLst/>
        </a:prstGeom>
      </xdr:spPr>
    </xdr:pic>
    <xdr:clientData/>
  </xdr:twoCellAnchor>
  <xdr:twoCellAnchor editAs="oneCell">
    <xdr:from>
      <xdr:col>41</xdr:col>
      <xdr:colOff>41415</xdr:colOff>
      <xdr:row>8</xdr:row>
      <xdr:rowOff>91109</xdr:rowOff>
    </xdr:from>
    <xdr:to>
      <xdr:col>48</xdr:col>
      <xdr:colOff>112998</xdr:colOff>
      <xdr:row>14</xdr:row>
      <xdr:rowOff>66261</xdr:rowOff>
    </xdr:to>
    <xdr:pic>
      <xdr:nvPicPr>
        <xdr:cNvPr id="7" name="Рисунок 6">
          <a:extLst>
            <a:ext uri="{FF2B5EF4-FFF2-40B4-BE49-F238E27FC236}">
              <a16:creationId xmlns:a16="http://schemas.microsoft.com/office/drawing/2014/main" id="{E3DB8AEB-00B9-42DE-8EC1-2687278A80E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441965" y="1596059"/>
          <a:ext cx="947883" cy="660951"/>
        </a:xfrm>
        <a:prstGeom prst="rect">
          <a:avLst/>
        </a:prstGeom>
      </xdr:spPr>
    </xdr:pic>
    <xdr:clientData/>
  </xdr:twoCellAnchor>
  <xdr:twoCellAnchor editAs="oneCell">
    <xdr:from>
      <xdr:col>51</xdr:col>
      <xdr:colOff>33131</xdr:colOff>
      <xdr:row>8</xdr:row>
      <xdr:rowOff>66262</xdr:rowOff>
    </xdr:from>
    <xdr:to>
      <xdr:col>58</xdr:col>
      <xdr:colOff>116371</xdr:colOff>
      <xdr:row>14</xdr:row>
      <xdr:rowOff>88267</xdr:rowOff>
    </xdr:to>
    <xdr:pic>
      <xdr:nvPicPr>
        <xdr:cNvPr id="8" name="Рисунок 7">
          <a:extLst>
            <a:ext uri="{FF2B5EF4-FFF2-40B4-BE49-F238E27FC236}">
              <a16:creationId xmlns:a16="http://schemas.microsoft.com/office/drawing/2014/main" id="{72FB96E0-8DF3-480E-9588-D9377E6A9C18}"/>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5481431" y="1571212"/>
          <a:ext cx="930965" cy="707804"/>
        </a:xfrm>
        <a:prstGeom prst="rect">
          <a:avLst/>
        </a:prstGeom>
      </xdr:spPr>
    </xdr:pic>
    <xdr:clientData/>
  </xdr:twoCellAnchor>
  <xdr:twoCellAnchor editAs="oneCell">
    <xdr:from>
      <xdr:col>61</xdr:col>
      <xdr:colOff>33129</xdr:colOff>
      <xdr:row>8</xdr:row>
      <xdr:rowOff>82827</xdr:rowOff>
    </xdr:from>
    <xdr:to>
      <xdr:col>69</xdr:col>
      <xdr:colOff>10731</xdr:colOff>
      <xdr:row>14</xdr:row>
      <xdr:rowOff>66262</xdr:rowOff>
    </xdr:to>
    <xdr:pic>
      <xdr:nvPicPr>
        <xdr:cNvPr id="9" name="Рисунок 8">
          <a:extLst>
            <a:ext uri="{FF2B5EF4-FFF2-40B4-BE49-F238E27FC236}">
              <a16:creationId xmlns:a16="http://schemas.microsoft.com/office/drawing/2014/main" id="{7E7A9275-7A46-4A53-9CEE-7931CF7CAA7D}"/>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529179" y="1587777"/>
          <a:ext cx="949152" cy="669234"/>
        </a:xfrm>
        <a:prstGeom prst="rect">
          <a:avLst/>
        </a:prstGeom>
      </xdr:spPr>
    </xdr:pic>
    <xdr:clientData/>
  </xdr:twoCellAnchor>
  <xdr:twoCellAnchor editAs="oneCell">
    <xdr:from>
      <xdr:col>1</xdr:col>
      <xdr:colOff>41412</xdr:colOff>
      <xdr:row>24</xdr:row>
      <xdr:rowOff>33129</xdr:rowOff>
    </xdr:from>
    <xdr:to>
      <xdr:col>8</xdr:col>
      <xdr:colOff>110159</xdr:colOff>
      <xdr:row>30</xdr:row>
      <xdr:rowOff>53883</xdr:rowOff>
    </xdr:to>
    <xdr:pic>
      <xdr:nvPicPr>
        <xdr:cNvPr id="10" name="Рисунок 9">
          <a:extLst>
            <a:ext uri="{FF2B5EF4-FFF2-40B4-BE49-F238E27FC236}">
              <a16:creationId xmlns:a16="http://schemas.microsoft.com/office/drawing/2014/main" id="{F41BC3F4-0F05-4796-8D6B-AC909AE43A97}"/>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0462" y="3281154"/>
          <a:ext cx="964097" cy="735129"/>
        </a:xfrm>
        <a:prstGeom prst="rect">
          <a:avLst/>
        </a:prstGeom>
      </xdr:spPr>
    </xdr:pic>
    <xdr:clientData/>
  </xdr:twoCellAnchor>
  <xdr:twoCellAnchor editAs="oneCell">
    <xdr:from>
      <xdr:col>11</xdr:col>
      <xdr:colOff>24849</xdr:colOff>
      <xdr:row>24</xdr:row>
      <xdr:rowOff>49697</xdr:rowOff>
    </xdr:from>
    <xdr:to>
      <xdr:col>18</xdr:col>
      <xdr:colOff>75941</xdr:colOff>
      <xdr:row>29</xdr:row>
      <xdr:rowOff>91110</xdr:rowOff>
    </xdr:to>
    <xdr:pic>
      <xdr:nvPicPr>
        <xdr:cNvPr id="11" name="Рисунок 10">
          <a:extLst>
            <a:ext uri="{FF2B5EF4-FFF2-40B4-BE49-F238E27FC236}">
              <a16:creationId xmlns:a16="http://schemas.microsoft.com/office/drawing/2014/main" id="{109808B6-BACA-4FEE-96AB-C95A10954741}"/>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91649" y="3297722"/>
          <a:ext cx="975017" cy="641488"/>
        </a:xfrm>
        <a:prstGeom prst="rect">
          <a:avLst/>
        </a:prstGeom>
      </xdr:spPr>
    </xdr:pic>
    <xdr:clientData/>
  </xdr:twoCellAnchor>
  <xdr:twoCellAnchor editAs="oneCell">
    <xdr:from>
      <xdr:col>21</xdr:col>
      <xdr:colOff>49698</xdr:colOff>
      <xdr:row>24</xdr:row>
      <xdr:rowOff>66262</xdr:rowOff>
    </xdr:from>
    <xdr:to>
      <xdr:col>28</xdr:col>
      <xdr:colOff>125292</xdr:colOff>
      <xdr:row>29</xdr:row>
      <xdr:rowOff>99391</xdr:rowOff>
    </xdr:to>
    <xdr:pic>
      <xdr:nvPicPr>
        <xdr:cNvPr id="12" name="Рисунок 11">
          <a:extLst>
            <a:ext uri="{FF2B5EF4-FFF2-40B4-BE49-F238E27FC236}">
              <a16:creationId xmlns:a16="http://schemas.microsoft.com/office/drawing/2014/main" id="{5E268ED8-F231-47A5-AE01-B9F5CABB1FFB}"/>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2221398" y="3314287"/>
          <a:ext cx="961419" cy="633204"/>
        </a:xfrm>
        <a:prstGeom prst="rect">
          <a:avLst/>
        </a:prstGeom>
      </xdr:spPr>
    </xdr:pic>
    <xdr:clientData/>
  </xdr:twoCellAnchor>
  <xdr:twoCellAnchor editAs="oneCell">
    <xdr:from>
      <xdr:col>31</xdr:col>
      <xdr:colOff>49696</xdr:colOff>
      <xdr:row>24</xdr:row>
      <xdr:rowOff>107675</xdr:rowOff>
    </xdr:from>
    <xdr:to>
      <xdr:col>38</xdr:col>
      <xdr:colOff>43137</xdr:colOff>
      <xdr:row>30</xdr:row>
      <xdr:rowOff>16566</xdr:rowOff>
    </xdr:to>
    <xdr:pic>
      <xdr:nvPicPr>
        <xdr:cNvPr id="13" name="Рисунок 12">
          <a:extLst>
            <a:ext uri="{FF2B5EF4-FFF2-40B4-BE49-F238E27FC236}">
              <a16:creationId xmlns:a16="http://schemas.microsoft.com/office/drawing/2014/main" id="{DB318A68-2FC7-4768-B1D4-67699AD136B6}"/>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3402496" y="3355700"/>
          <a:ext cx="964991" cy="623266"/>
        </a:xfrm>
        <a:prstGeom prst="rect">
          <a:avLst/>
        </a:prstGeom>
      </xdr:spPr>
    </xdr:pic>
    <xdr:clientData/>
  </xdr:twoCellAnchor>
  <xdr:twoCellAnchor editAs="oneCell">
    <xdr:from>
      <xdr:col>41</xdr:col>
      <xdr:colOff>33131</xdr:colOff>
      <xdr:row>24</xdr:row>
      <xdr:rowOff>91110</xdr:rowOff>
    </xdr:from>
    <xdr:to>
      <xdr:col>48</xdr:col>
      <xdr:colOff>123588</xdr:colOff>
      <xdr:row>30</xdr:row>
      <xdr:rowOff>0</xdr:rowOff>
    </xdr:to>
    <xdr:pic>
      <xdr:nvPicPr>
        <xdr:cNvPr id="14" name="Рисунок 13">
          <a:extLst>
            <a:ext uri="{FF2B5EF4-FFF2-40B4-BE49-F238E27FC236}">
              <a16:creationId xmlns:a16="http://schemas.microsoft.com/office/drawing/2014/main" id="{09B658EE-79DD-4696-BA61-97FDB8F6AA62}"/>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4433681" y="3339135"/>
          <a:ext cx="966757" cy="623265"/>
        </a:xfrm>
        <a:prstGeom prst="rect">
          <a:avLst/>
        </a:prstGeom>
      </xdr:spPr>
    </xdr:pic>
    <xdr:clientData/>
  </xdr:twoCellAnchor>
  <xdr:twoCellAnchor editAs="oneCell">
    <xdr:from>
      <xdr:col>50</xdr:col>
      <xdr:colOff>16564</xdr:colOff>
      <xdr:row>24</xdr:row>
      <xdr:rowOff>107674</xdr:rowOff>
    </xdr:from>
    <xdr:to>
      <xdr:col>58</xdr:col>
      <xdr:colOff>174349</xdr:colOff>
      <xdr:row>30</xdr:row>
      <xdr:rowOff>21125</xdr:rowOff>
    </xdr:to>
    <xdr:pic>
      <xdr:nvPicPr>
        <xdr:cNvPr id="15" name="Рисунок 14">
          <a:extLst>
            <a:ext uri="{FF2B5EF4-FFF2-40B4-BE49-F238E27FC236}">
              <a16:creationId xmlns:a16="http://schemas.microsoft.com/office/drawing/2014/main" id="{C2EF2BD7-99E0-48DB-8819-D8D5E032021C}"/>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5445814" y="3355699"/>
          <a:ext cx="1024560" cy="627826"/>
        </a:xfrm>
        <a:prstGeom prst="rect">
          <a:avLst/>
        </a:prstGeom>
      </xdr:spPr>
    </xdr:pic>
    <xdr:clientData/>
  </xdr:twoCellAnchor>
  <xdr:twoCellAnchor editAs="oneCell">
    <xdr:from>
      <xdr:col>61</xdr:col>
      <xdr:colOff>33131</xdr:colOff>
      <xdr:row>24</xdr:row>
      <xdr:rowOff>49696</xdr:rowOff>
    </xdr:from>
    <xdr:to>
      <xdr:col>69</xdr:col>
      <xdr:colOff>17393</xdr:colOff>
      <xdr:row>30</xdr:row>
      <xdr:rowOff>7454</xdr:rowOff>
    </xdr:to>
    <xdr:pic>
      <xdr:nvPicPr>
        <xdr:cNvPr id="16" name="Рисунок 15">
          <a:extLst>
            <a:ext uri="{FF2B5EF4-FFF2-40B4-BE49-F238E27FC236}">
              <a16:creationId xmlns:a16="http://schemas.microsoft.com/office/drawing/2014/main" id="{A2177F34-D946-45C2-85E9-A8D6D0EC53CB}"/>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6529181" y="3297721"/>
          <a:ext cx="955812" cy="672133"/>
        </a:xfrm>
        <a:prstGeom prst="rect">
          <a:avLst/>
        </a:prstGeom>
      </xdr:spPr>
    </xdr:pic>
    <xdr:clientData/>
  </xdr:twoCellAnchor>
  <xdr:twoCellAnchor editAs="oneCell">
    <xdr:from>
      <xdr:col>1</xdr:col>
      <xdr:colOff>8284</xdr:colOff>
      <xdr:row>39</xdr:row>
      <xdr:rowOff>2</xdr:rowOff>
    </xdr:from>
    <xdr:to>
      <xdr:col>8</xdr:col>
      <xdr:colOff>112353</xdr:colOff>
      <xdr:row>44</xdr:row>
      <xdr:rowOff>107673</xdr:rowOff>
    </xdr:to>
    <xdr:pic>
      <xdr:nvPicPr>
        <xdr:cNvPr id="17" name="Рисунок 16">
          <a:extLst>
            <a:ext uri="{FF2B5EF4-FFF2-40B4-BE49-F238E27FC236}">
              <a16:creationId xmlns:a16="http://schemas.microsoft.com/office/drawing/2014/main" id="{95E8A94B-1317-4102-B825-B31337B87F6F}"/>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27334" y="4895852"/>
          <a:ext cx="999419" cy="707746"/>
        </a:xfrm>
        <a:prstGeom prst="rect">
          <a:avLst/>
        </a:prstGeom>
      </xdr:spPr>
    </xdr:pic>
    <xdr:clientData/>
  </xdr:twoCellAnchor>
  <xdr:twoCellAnchor editAs="oneCell">
    <xdr:from>
      <xdr:col>11</xdr:col>
      <xdr:colOff>33130</xdr:colOff>
      <xdr:row>38</xdr:row>
      <xdr:rowOff>82825</xdr:rowOff>
    </xdr:from>
    <xdr:to>
      <xdr:col>18</xdr:col>
      <xdr:colOff>84168</xdr:colOff>
      <xdr:row>45</xdr:row>
      <xdr:rowOff>16565</xdr:rowOff>
    </xdr:to>
    <xdr:pic>
      <xdr:nvPicPr>
        <xdr:cNvPr id="18" name="Рисунок 17">
          <a:extLst>
            <a:ext uri="{FF2B5EF4-FFF2-40B4-BE49-F238E27FC236}">
              <a16:creationId xmlns:a16="http://schemas.microsoft.com/office/drawing/2014/main" id="{C17891F8-CDE5-4C35-8EA8-484783B11FC1}"/>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099930" y="4864375"/>
          <a:ext cx="974963" cy="762415"/>
        </a:xfrm>
        <a:prstGeom prst="rect">
          <a:avLst/>
        </a:prstGeom>
      </xdr:spPr>
    </xdr:pic>
    <xdr:clientData/>
  </xdr:twoCellAnchor>
  <xdr:twoCellAnchor editAs="oneCell">
    <xdr:from>
      <xdr:col>21</xdr:col>
      <xdr:colOff>49696</xdr:colOff>
      <xdr:row>38</xdr:row>
      <xdr:rowOff>107675</xdr:rowOff>
    </xdr:from>
    <xdr:to>
      <xdr:col>28</xdr:col>
      <xdr:colOff>110178</xdr:colOff>
      <xdr:row>45</xdr:row>
      <xdr:rowOff>1</xdr:rowOff>
    </xdr:to>
    <xdr:pic>
      <xdr:nvPicPr>
        <xdr:cNvPr id="19" name="Рисунок 18">
          <a:extLst>
            <a:ext uri="{FF2B5EF4-FFF2-40B4-BE49-F238E27FC236}">
              <a16:creationId xmlns:a16="http://schemas.microsoft.com/office/drawing/2014/main" id="{851EC09D-4499-4427-910A-D3761FCFAD08}"/>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2221396" y="4889225"/>
          <a:ext cx="946307" cy="721001"/>
        </a:xfrm>
        <a:prstGeom prst="rect">
          <a:avLst/>
        </a:prstGeom>
      </xdr:spPr>
    </xdr:pic>
    <xdr:clientData/>
  </xdr:twoCellAnchor>
  <xdr:twoCellAnchor editAs="oneCell">
    <xdr:from>
      <xdr:col>31</xdr:col>
      <xdr:colOff>57979</xdr:colOff>
      <xdr:row>39</xdr:row>
      <xdr:rowOff>33132</xdr:rowOff>
    </xdr:from>
    <xdr:to>
      <xdr:col>38</xdr:col>
      <xdr:colOff>37857</xdr:colOff>
      <xdr:row>45</xdr:row>
      <xdr:rowOff>57979</xdr:rowOff>
    </xdr:to>
    <xdr:pic>
      <xdr:nvPicPr>
        <xdr:cNvPr id="20" name="Рисунок 19">
          <a:extLst>
            <a:ext uri="{FF2B5EF4-FFF2-40B4-BE49-F238E27FC236}">
              <a16:creationId xmlns:a16="http://schemas.microsoft.com/office/drawing/2014/main" id="{3494B1E3-39B4-4B37-A14A-5D9380E79B34}"/>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3410779" y="4928982"/>
          <a:ext cx="951428" cy="739222"/>
        </a:xfrm>
        <a:prstGeom prst="rect">
          <a:avLst/>
        </a:prstGeom>
      </xdr:spPr>
    </xdr:pic>
    <xdr:clientData/>
  </xdr:twoCellAnchor>
  <xdr:twoCellAnchor editAs="oneCell">
    <xdr:from>
      <xdr:col>41</xdr:col>
      <xdr:colOff>41414</xdr:colOff>
      <xdr:row>39</xdr:row>
      <xdr:rowOff>49696</xdr:rowOff>
    </xdr:from>
    <xdr:to>
      <xdr:col>48</xdr:col>
      <xdr:colOff>129210</xdr:colOff>
      <xdr:row>45</xdr:row>
      <xdr:rowOff>75848</xdr:rowOff>
    </xdr:to>
    <xdr:pic>
      <xdr:nvPicPr>
        <xdr:cNvPr id="21" name="Рисунок 20">
          <a:extLst>
            <a:ext uri="{FF2B5EF4-FFF2-40B4-BE49-F238E27FC236}">
              <a16:creationId xmlns:a16="http://schemas.microsoft.com/office/drawing/2014/main" id="{A3DDCE41-CD66-4906-94D4-A8DFD54739DC}"/>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441964" y="4945546"/>
          <a:ext cx="964096" cy="740527"/>
        </a:xfrm>
        <a:prstGeom prst="rect">
          <a:avLst/>
        </a:prstGeom>
      </xdr:spPr>
    </xdr:pic>
    <xdr:clientData/>
  </xdr:twoCellAnchor>
  <xdr:twoCellAnchor editAs="oneCell">
    <xdr:from>
      <xdr:col>51</xdr:col>
      <xdr:colOff>33130</xdr:colOff>
      <xdr:row>39</xdr:row>
      <xdr:rowOff>49697</xdr:rowOff>
    </xdr:from>
    <xdr:to>
      <xdr:col>58</xdr:col>
      <xdr:colOff>166274</xdr:colOff>
      <xdr:row>45</xdr:row>
      <xdr:rowOff>33131</xdr:rowOff>
    </xdr:to>
    <xdr:pic>
      <xdr:nvPicPr>
        <xdr:cNvPr id="22" name="Рисунок 21">
          <a:extLst>
            <a:ext uri="{FF2B5EF4-FFF2-40B4-BE49-F238E27FC236}">
              <a16:creationId xmlns:a16="http://schemas.microsoft.com/office/drawing/2014/main" id="{24705FE8-3DE8-4B36-BE31-B11150369B2D}"/>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481430" y="4945547"/>
          <a:ext cx="980869" cy="697809"/>
        </a:xfrm>
        <a:prstGeom prst="rect">
          <a:avLst/>
        </a:prstGeom>
      </xdr:spPr>
    </xdr:pic>
    <xdr:clientData/>
  </xdr:twoCellAnchor>
  <xdr:twoCellAnchor editAs="oneCell">
    <xdr:from>
      <xdr:col>61</xdr:col>
      <xdr:colOff>24848</xdr:colOff>
      <xdr:row>39</xdr:row>
      <xdr:rowOff>33131</xdr:rowOff>
    </xdr:from>
    <xdr:to>
      <xdr:col>69</xdr:col>
      <xdr:colOff>32785</xdr:colOff>
      <xdr:row>45</xdr:row>
      <xdr:rowOff>24848</xdr:rowOff>
    </xdr:to>
    <xdr:pic>
      <xdr:nvPicPr>
        <xdr:cNvPr id="23" name="Рисунок 22">
          <a:extLst>
            <a:ext uri="{FF2B5EF4-FFF2-40B4-BE49-F238E27FC236}">
              <a16:creationId xmlns:a16="http://schemas.microsoft.com/office/drawing/2014/main" id="{E5017CD0-1CEB-4DB1-BB6F-CAB7D8EBD1C4}"/>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6520898" y="4928981"/>
          <a:ext cx="979487" cy="706092"/>
        </a:xfrm>
        <a:prstGeom prst="rect">
          <a:avLst/>
        </a:prstGeom>
      </xdr:spPr>
    </xdr:pic>
    <xdr:clientData/>
  </xdr:twoCellAnchor>
  <xdr:twoCellAnchor editAs="oneCell">
    <xdr:from>
      <xdr:col>1</xdr:col>
      <xdr:colOff>33131</xdr:colOff>
      <xdr:row>53</xdr:row>
      <xdr:rowOff>99391</xdr:rowOff>
    </xdr:from>
    <xdr:to>
      <xdr:col>9</xdr:col>
      <xdr:colOff>19051</xdr:colOff>
      <xdr:row>59</xdr:row>
      <xdr:rowOff>17333</xdr:rowOff>
    </xdr:to>
    <xdr:pic>
      <xdr:nvPicPr>
        <xdr:cNvPr id="24" name="Рисунок 23">
          <a:extLst>
            <a:ext uri="{FF2B5EF4-FFF2-40B4-BE49-F238E27FC236}">
              <a16:creationId xmlns:a16="http://schemas.microsoft.com/office/drawing/2014/main" id="{75183F0A-24F7-442C-AE63-DC13665E46AE}"/>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52181" y="6528766"/>
          <a:ext cx="995570" cy="603742"/>
        </a:xfrm>
        <a:prstGeom prst="rect">
          <a:avLst/>
        </a:prstGeom>
      </xdr:spPr>
    </xdr:pic>
    <xdr:clientData/>
  </xdr:twoCellAnchor>
  <xdr:twoCellAnchor editAs="oneCell">
    <xdr:from>
      <xdr:col>33</xdr:col>
      <xdr:colOff>8282</xdr:colOff>
      <xdr:row>53</xdr:row>
      <xdr:rowOff>107675</xdr:rowOff>
    </xdr:from>
    <xdr:to>
      <xdr:col>37</xdr:col>
      <xdr:colOff>33957</xdr:colOff>
      <xdr:row>60</xdr:row>
      <xdr:rowOff>41413</xdr:rowOff>
    </xdr:to>
    <xdr:pic>
      <xdr:nvPicPr>
        <xdr:cNvPr id="25" name="Рисунок 24">
          <a:extLst>
            <a:ext uri="{FF2B5EF4-FFF2-40B4-BE49-F238E27FC236}">
              <a16:creationId xmlns:a16="http://schemas.microsoft.com/office/drawing/2014/main" id="{BA6E46FC-9313-4F82-8DB1-6F9447F96557}"/>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3589682" y="6537050"/>
          <a:ext cx="654325" cy="733838"/>
        </a:xfrm>
        <a:prstGeom prst="rect">
          <a:avLst/>
        </a:prstGeom>
      </xdr:spPr>
    </xdr:pic>
    <xdr:clientData/>
  </xdr:twoCellAnchor>
  <xdr:twoCellAnchor editAs="oneCell">
    <xdr:from>
      <xdr:col>42</xdr:col>
      <xdr:colOff>99393</xdr:colOff>
      <xdr:row>54</xdr:row>
      <xdr:rowOff>1</xdr:rowOff>
    </xdr:from>
    <xdr:to>
      <xdr:col>47</xdr:col>
      <xdr:colOff>96078</xdr:colOff>
      <xdr:row>60</xdr:row>
      <xdr:rowOff>24406</xdr:rowOff>
    </xdr:to>
    <xdr:pic>
      <xdr:nvPicPr>
        <xdr:cNvPr id="26" name="Рисунок 25">
          <a:extLst>
            <a:ext uri="{FF2B5EF4-FFF2-40B4-BE49-F238E27FC236}">
              <a16:creationId xmlns:a16="http://schemas.microsoft.com/office/drawing/2014/main" id="{19ABC5B1-8267-407E-8EC0-108CF93901F1}"/>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614243" y="6543676"/>
          <a:ext cx="644385" cy="710206"/>
        </a:xfrm>
        <a:prstGeom prst="rect">
          <a:avLst/>
        </a:prstGeom>
      </xdr:spPr>
    </xdr:pic>
    <xdr:clientData/>
  </xdr:twoCellAnchor>
  <xdr:twoCellAnchor editAs="oneCell">
    <xdr:from>
      <xdr:col>51</xdr:col>
      <xdr:colOff>107674</xdr:colOff>
      <xdr:row>54</xdr:row>
      <xdr:rowOff>8284</xdr:rowOff>
    </xdr:from>
    <xdr:to>
      <xdr:col>58</xdr:col>
      <xdr:colOff>83240</xdr:colOff>
      <xdr:row>60</xdr:row>
      <xdr:rowOff>76026</xdr:rowOff>
    </xdr:to>
    <xdr:pic>
      <xdr:nvPicPr>
        <xdr:cNvPr id="27" name="Рисунок 26">
          <a:extLst>
            <a:ext uri="{FF2B5EF4-FFF2-40B4-BE49-F238E27FC236}">
              <a16:creationId xmlns:a16="http://schemas.microsoft.com/office/drawing/2014/main" id="{3C467F56-9F9A-45F8-9A4A-6657CF00DBDD}"/>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5555974" y="6551959"/>
          <a:ext cx="823291" cy="753543"/>
        </a:xfrm>
        <a:prstGeom prst="rect">
          <a:avLst/>
        </a:prstGeom>
      </xdr:spPr>
    </xdr:pic>
    <xdr:clientData/>
  </xdr:twoCellAnchor>
  <xdr:twoCellAnchor editAs="oneCell">
    <xdr:from>
      <xdr:col>61</xdr:col>
      <xdr:colOff>99391</xdr:colOff>
      <xdr:row>54</xdr:row>
      <xdr:rowOff>49694</xdr:rowOff>
    </xdr:from>
    <xdr:to>
      <xdr:col>69</xdr:col>
      <xdr:colOff>17393</xdr:colOff>
      <xdr:row>60</xdr:row>
      <xdr:rowOff>83881</xdr:rowOff>
    </xdr:to>
    <xdr:pic>
      <xdr:nvPicPr>
        <xdr:cNvPr id="28" name="Рисунок 27">
          <a:extLst>
            <a:ext uri="{FF2B5EF4-FFF2-40B4-BE49-F238E27FC236}">
              <a16:creationId xmlns:a16="http://schemas.microsoft.com/office/drawing/2014/main" id="{28373789-DDED-48FA-83C9-1C9A28BB9157}"/>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6595441" y="6593369"/>
          <a:ext cx="889552" cy="719988"/>
        </a:xfrm>
        <a:prstGeom prst="rect">
          <a:avLst/>
        </a:prstGeom>
      </xdr:spPr>
    </xdr:pic>
    <xdr:clientData/>
  </xdr:twoCellAnchor>
  <xdr:twoCellAnchor editAs="oneCell">
    <xdr:from>
      <xdr:col>1</xdr:col>
      <xdr:colOff>66262</xdr:colOff>
      <xdr:row>68</xdr:row>
      <xdr:rowOff>91109</xdr:rowOff>
    </xdr:from>
    <xdr:to>
      <xdr:col>8</xdr:col>
      <xdr:colOff>81908</xdr:colOff>
      <xdr:row>75</xdr:row>
      <xdr:rowOff>57978</xdr:rowOff>
    </xdr:to>
    <xdr:pic>
      <xdr:nvPicPr>
        <xdr:cNvPr id="29" name="Рисунок 28">
          <a:extLst>
            <a:ext uri="{FF2B5EF4-FFF2-40B4-BE49-F238E27FC236}">
              <a16:creationId xmlns:a16="http://schemas.microsoft.com/office/drawing/2014/main" id="{9338ED88-4D2D-4249-864D-B60518DDB212}"/>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85312" y="8139734"/>
          <a:ext cx="910996" cy="766970"/>
        </a:xfrm>
        <a:prstGeom prst="rect">
          <a:avLst/>
        </a:prstGeom>
      </xdr:spPr>
    </xdr:pic>
    <xdr:clientData/>
  </xdr:twoCellAnchor>
  <xdr:twoCellAnchor editAs="oneCell">
    <xdr:from>
      <xdr:col>11</xdr:col>
      <xdr:colOff>66262</xdr:colOff>
      <xdr:row>68</xdr:row>
      <xdr:rowOff>82827</xdr:rowOff>
    </xdr:from>
    <xdr:to>
      <xdr:col>18</xdr:col>
      <xdr:colOff>84895</xdr:colOff>
      <xdr:row>75</xdr:row>
      <xdr:rowOff>82825</xdr:rowOff>
    </xdr:to>
    <xdr:pic>
      <xdr:nvPicPr>
        <xdr:cNvPr id="30" name="Рисунок 29">
          <a:extLst>
            <a:ext uri="{FF2B5EF4-FFF2-40B4-BE49-F238E27FC236}">
              <a16:creationId xmlns:a16="http://schemas.microsoft.com/office/drawing/2014/main" id="{43F00A6E-4BEE-4A3E-8654-1815AE9B419D}"/>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1133062" y="8131452"/>
          <a:ext cx="942558" cy="800099"/>
        </a:xfrm>
        <a:prstGeom prst="rect">
          <a:avLst/>
        </a:prstGeom>
      </xdr:spPr>
    </xdr:pic>
    <xdr:clientData/>
  </xdr:twoCellAnchor>
  <xdr:twoCellAnchor editAs="oneCell">
    <xdr:from>
      <xdr:col>21</xdr:col>
      <xdr:colOff>16564</xdr:colOff>
      <xdr:row>69</xdr:row>
      <xdr:rowOff>24851</xdr:rowOff>
    </xdr:from>
    <xdr:to>
      <xdr:col>28</xdr:col>
      <xdr:colOff>118459</xdr:colOff>
      <xdr:row>75</xdr:row>
      <xdr:rowOff>33132</xdr:rowOff>
    </xdr:to>
    <xdr:pic>
      <xdr:nvPicPr>
        <xdr:cNvPr id="31" name="Рисунок 30">
          <a:extLst>
            <a:ext uri="{FF2B5EF4-FFF2-40B4-BE49-F238E27FC236}">
              <a16:creationId xmlns:a16="http://schemas.microsoft.com/office/drawing/2014/main" id="{CB905810-9FD5-4DA2-9DC6-E2CD8D69CCB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2188264" y="8187776"/>
          <a:ext cx="987720" cy="694081"/>
        </a:xfrm>
        <a:prstGeom prst="rect">
          <a:avLst/>
        </a:prstGeom>
      </xdr:spPr>
    </xdr:pic>
    <xdr:clientData/>
  </xdr:twoCellAnchor>
  <xdr:twoCellAnchor editAs="oneCell">
    <xdr:from>
      <xdr:col>31</xdr:col>
      <xdr:colOff>41413</xdr:colOff>
      <xdr:row>69</xdr:row>
      <xdr:rowOff>82826</xdr:rowOff>
    </xdr:from>
    <xdr:to>
      <xdr:col>38</xdr:col>
      <xdr:colOff>22962</xdr:colOff>
      <xdr:row>76</xdr:row>
      <xdr:rowOff>8283</xdr:rowOff>
    </xdr:to>
    <xdr:pic>
      <xdr:nvPicPr>
        <xdr:cNvPr id="32" name="Рисунок 31">
          <a:extLst>
            <a:ext uri="{FF2B5EF4-FFF2-40B4-BE49-F238E27FC236}">
              <a16:creationId xmlns:a16="http://schemas.microsoft.com/office/drawing/2014/main" id="{B5841F7B-F92B-4F34-8F5D-473C208E2ABF}"/>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3394213" y="8245751"/>
          <a:ext cx="953099" cy="725557"/>
        </a:xfrm>
        <a:prstGeom prst="rect">
          <a:avLst/>
        </a:prstGeom>
      </xdr:spPr>
    </xdr:pic>
    <xdr:clientData/>
  </xdr:twoCellAnchor>
  <xdr:twoCellAnchor editAs="oneCell">
    <xdr:from>
      <xdr:col>41</xdr:col>
      <xdr:colOff>33130</xdr:colOff>
      <xdr:row>69</xdr:row>
      <xdr:rowOff>66262</xdr:rowOff>
    </xdr:from>
    <xdr:to>
      <xdr:col>48</xdr:col>
      <xdr:colOff>137491</xdr:colOff>
      <xdr:row>75</xdr:row>
      <xdr:rowOff>75701</xdr:rowOff>
    </xdr:to>
    <xdr:pic>
      <xdr:nvPicPr>
        <xdr:cNvPr id="33" name="Рисунок 32">
          <a:extLst>
            <a:ext uri="{FF2B5EF4-FFF2-40B4-BE49-F238E27FC236}">
              <a16:creationId xmlns:a16="http://schemas.microsoft.com/office/drawing/2014/main" id="{D7556FD9-A53B-4B59-9C3B-D7329D70F6CF}"/>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433680" y="8229187"/>
          <a:ext cx="980661" cy="695239"/>
        </a:xfrm>
        <a:prstGeom prst="rect">
          <a:avLst/>
        </a:prstGeom>
      </xdr:spPr>
    </xdr:pic>
    <xdr:clientData/>
  </xdr:twoCellAnchor>
  <xdr:twoCellAnchor editAs="oneCell">
    <xdr:from>
      <xdr:col>51</xdr:col>
      <xdr:colOff>66261</xdr:colOff>
      <xdr:row>69</xdr:row>
      <xdr:rowOff>107674</xdr:rowOff>
    </xdr:from>
    <xdr:to>
      <xdr:col>58</xdr:col>
      <xdr:colOff>149502</xdr:colOff>
      <xdr:row>72</xdr:row>
      <xdr:rowOff>89091</xdr:rowOff>
    </xdr:to>
    <xdr:pic>
      <xdr:nvPicPr>
        <xdr:cNvPr id="34" name="Рисунок 33">
          <a:extLst>
            <a:ext uri="{FF2B5EF4-FFF2-40B4-BE49-F238E27FC236}">
              <a16:creationId xmlns:a16="http://schemas.microsoft.com/office/drawing/2014/main" id="{464F66CC-4025-45D9-A824-274A5797FC5E}"/>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5514561" y="8270599"/>
          <a:ext cx="930966" cy="324317"/>
        </a:xfrm>
        <a:prstGeom prst="rect">
          <a:avLst/>
        </a:prstGeom>
      </xdr:spPr>
    </xdr:pic>
    <xdr:clientData/>
  </xdr:twoCellAnchor>
  <xdr:twoCellAnchor editAs="oneCell">
    <xdr:from>
      <xdr:col>61</xdr:col>
      <xdr:colOff>91108</xdr:colOff>
      <xdr:row>70</xdr:row>
      <xdr:rowOff>33130</xdr:rowOff>
    </xdr:from>
    <xdr:to>
      <xdr:col>69</xdr:col>
      <xdr:colOff>828</xdr:colOff>
      <xdr:row>73</xdr:row>
      <xdr:rowOff>48182</xdr:rowOff>
    </xdr:to>
    <xdr:pic>
      <xdr:nvPicPr>
        <xdr:cNvPr id="35" name="Рисунок 34">
          <a:extLst>
            <a:ext uri="{FF2B5EF4-FFF2-40B4-BE49-F238E27FC236}">
              <a16:creationId xmlns:a16="http://schemas.microsoft.com/office/drawing/2014/main" id="{A831BB26-DE43-44B6-9D64-0C83863DA4F2}"/>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6587158" y="8310355"/>
          <a:ext cx="881270" cy="357952"/>
        </a:xfrm>
        <a:prstGeom prst="rect">
          <a:avLst/>
        </a:prstGeom>
      </xdr:spPr>
    </xdr:pic>
    <xdr:clientData/>
  </xdr:twoCellAnchor>
  <xdr:twoCellAnchor editAs="oneCell">
    <xdr:from>
      <xdr:col>1</xdr:col>
      <xdr:colOff>57979</xdr:colOff>
      <xdr:row>83</xdr:row>
      <xdr:rowOff>99392</xdr:rowOff>
    </xdr:from>
    <xdr:to>
      <xdr:col>9</xdr:col>
      <xdr:colOff>4522</xdr:colOff>
      <xdr:row>90</xdr:row>
      <xdr:rowOff>41413</xdr:rowOff>
    </xdr:to>
    <xdr:pic>
      <xdr:nvPicPr>
        <xdr:cNvPr id="36" name="Рисунок 35">
          <a:extLst>
            <a:ext uri="{FF2B5EF4-FFF2-40B4-BE49-F238E27FC236}">
              <a16:creationId xmlns:a16="http://schemas.microsoft.com/office/drawing/2014/main" id="{81BE770B-92CB-4D0C-B94B-A160E0C7CAAD}"/>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77029" y="9757742"/>
          <a:ext cx="956193" cy="742122"/>
        </a:xfrm>
        <a:prstGeom prst="rect">
          <a:avLst/>
        </a:prstGeom>
      </xdr:spPr>
    </xdr:pic>
    <xdr:clientData/>
  </xdr:twoCellAnchor>
  <xdr:twoCellAnchor editAs="oneCell">
    <xdr:from>
      <xdr:col>11</xdr:col>
      <xdr:colOff>49697</xdr:colOff>
      <xdr:row>84</xdr:row>
      <xdr:rowOff>8283</xdr:rowOff>
    </xdr:from>
    <xdr:to>
      <xdr:col>18</xdr:col>
      <xdr:colOff>89038</xdr:colOff>
      <xdr:row>88</xdr:row>
      <xdr:rowOff>87112</xdr:rowOff>
    </xdr:to>
    <xdr:pic>
      <xdr:nvPicPr>
        <xdr:cNvPr id="37" name="Рисунок 36">
          <a:extLst>
            <a:ext uri="{FF2B5EF4-FFF2-40B4-BE49-F238E27FC236}">
              <a16:creationId xmlns:a16="http://schemas.microsoft.com/office/drawing/2014/main" id="{CAB9D478-0E74-43A8-8B6C-0714CCA212A5}"/>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1116497" y="9780933"/>
          <a:ext cx="963266" cy="536029"/>
        </a:xfrm>
        <a:prstGeom prst="rect">
          <a:avLst/>
        </a:prstGeom>
      </xdr:spPr>
    </xdr:pic>
    <xdr:clientData/>
  </xdr:twoCellAnchor>
  <xdr:twoCellAnchor editAs="oneCell">
    <xdr:from>
      <xdr:col>21</xdr:col>
      <xdr:colOff>41414</xdr:colOff>
      <xdr:row>84</xdr:row>
      <xdr:rowOff>49695</xdr:rowOff>
    </xdr:from>
    <xdr:to>
      <xdr:col>28</xdr:col>
      <xdr:colOff>102704</xdr:colOff>
      <xdr:row>89</xdr:row>
      <xdr:rowOff>8887</xdr:rowOff>
    </xdr:to>
    <xdr:pic>
      <xdr:nvPicPr>
        <xdr:cNvPr id="38" name="Рисунок 37">
          <a:extLst>
            <a:ext uri="{FF2B5EF4-FFF2-40B4-BE49-F238E27FC236}">
              <a16:creationId xmlns:a16="http://schemas.microsoft.com/office/drawing/2014/main" id="{4EF5F8B8-28E5-4BBB-A38C-A620E3616239}"/>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213114" y="9822345"/>
          <a:ext cx="947115" cy="530692"/>
        </a:xfrm>
        <a:prstGeom prst="rect">
          <a:avLst/>
        </a:prstGeom>
      </xdr:spPr>
    </xdr:pic>
    <xdr:clientData/>
  </xdr:twoCellAnchor>
  <xdr:twoCellAnchor editAs="oneCell">
    <xdr:from>
      <xdr:col>31</xdr:col>
      <xdr:colOff>57978</xdr:colOff>
      <xdr:row>83</xdr:row>
      <xdr:rowOff>57979</xdr:rowOff>
    </xdr:from>
    <xdr:to>
      <xdr:col>38</xdr:col>
      <xdr:colOff>17738</xdr:colOff>
      <xdr:row>90</xdr:row>
      <xdr:rowOff>91108</xdr:rowOff>
    </xdr:to>
    <xdr:pic>
      <xdr:nvPicPr>
        <xdr:cNvPr id="39" name="Рисунок 38">
          <a:extLst>
            <a:ext uri="{FF2B5EF4-FFF2-40B4-BE49-F238E27FC236}">
              <a16:creationId xmlns:a16="http://schemas.microsoft.com/office/drawing/2014/main" id="{7DC0EE5A-FAB5-4D78-A3E7-F9E667406C6C}"/>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3410778" y="9716329"/>
          <a:ext cx="931310" cy="833230"/>
        </a:xfrm>
        <a:prstGeom prst="rect">
          <a:avLst/>
        </a:prstGeom>
      </xdr:spPr>
    </xdr:pic>
    <xdr:clientData/>
  </xdr:twoCellAnchor>
  <xdr:twoCellAnchor editAs="oneCell">
    <xdr:from>
      <xdr:col>41</xdr:col>
      <xdr:colOff>74543</xdr:colOff>
      <xdr:row>83</xdr:row>
      <xdr:rowOff>24849</xdr:rowOff>
    </xdr:from>
    <xdr:to>
      <xdr:col>48</xdr:col>
      <xdr:colOff>147817</xdr:colOff>
      <xdr:row>89</xdr:row>
      <xdr:rowOff>57977</xdr:rowOff>
    </xdr:to>
    <xdr:pic>
      <xdr:nvPicPr>
        <xdr:cNvPr id="40" name="Рисунок 39">
          <a:extLst>
            <a:ext uri="{FF2B5EF4-FFF2-40B4-BE49-F238E27FC236}">
              <a16:creationId xmlns:a16="http://schemas.microsoft.com/office/drawing/2014/main" id="{D83DE90A-EE77-49D6-8535-1C8CAD00792A}"/>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475093" y="9683199"/>
          <a:ext cx="949574" cy="718929"/>
        </a:xfrm>
        <a:prstGeom prst="rect">
          <a:avLst/>
        </a:prstGeom>
      </xdr:spPr>
    </xdr:pic>
    <xdr:clientData/>
  </xdr:twoCellAnchor>
  <xdr:twoCellAnchor editAs="oneCell">
    <xdr:from>
      <xdr:col>51</xdr:col>
      <xdr:colOff>41413</xdr:colOff>
      <xdr:row>85</xdr:row>
      <xdr:rowOff>8283</xdr:rowOff>
    </xdr:from>
    <xdr:to>
      <xdr:col>58</xdr:col>
      <xdr:colOff>177663</xdr:colOff>
      <xdr:row>88</xdr:row>
      <xdr:rowOff>8283</xdr:rowOff>
    </xdr:to>
    <xdr:pic>
      <xdr:nvPicPr>
        <xdr:cNvPr id="41" name="Рисунок 40">
          <a:extLst>
            <a:ext uri="{FF2B5EF4-FFF2-40B4-BE49-F238E27FC236}">
              <a16:creationId xmlns:a16="http://schemas.microsoft.com/office/drawing/2014/main" id="{28830F36-3C57-4BE2-BB8B-D70D06A2172E}"/>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89713" y="9895233"/>
          <a:ext cx="983975" cy="342901"/>
        </a:xfrm>
        <a:prstGeom prst="rect">
          <a:avLst/>
        </a:prstGeom>
      </xdr:spPr>
    </xdr:pic>
    <xdr:clientData/>
  </xdr:twoCellAnchor>
  <xdr:twoCellAnchor editAs="oneCell">
    <xdr:from>
      <xdr:col>61</xdr:col>
      <xdr:colOff>64191</xdr:colOff>
      <xdr:row>82</xdr:row>
      <xdr:rowOff>29404</xdr:rowOff>
    </xdr:from>
    <xdr:to>
      <xdr:col>68</xdr:col>
      <xdr:colOff>40171</xdr:colOff>
      <xdr:row>85</xdr:row>
      <xdr:rowOff>69903</xdr:rowOff>
    </xdr:to>
    <xdr:pic>
      <xdr:nvPicPr>
        <xdr:cNvPr id="42" name="Рисунок 41">
          <a:extLst>
            <a:ext uri="{FF2B5EF4-FFF2-40B4-BE49-F238E27FC236}">
              <a16:creationId xmlns:a16="http://schemas.microsoft.com/office/drawing/2014/main" id="{9875A6F5-7FDB-4722-9215-3ED07CFA9C7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7007916" y="10087804"/>
          <a:ext cx="833230" cy="383399"/>
        </a:xfrm>
        <a:prstGeom prst="rect">
          <a:avLst/>
        </a:prstGeom>
      </xdr:spPr>
    </xdr:pic>
    <xdr:clientData/>
  </xdr:twoCellAnchor>
  <xdr:twoCellAnchor editAs="oneCell">
    <xdr:from>
      <xdr:col>62</xdr:col>
      <xdr:colOff>41413</xdr:colOff>
      <xdr:row>89</xdr:row>
      <xdr:rowOff>0</xdr:rowOff>
    </xdr:from>
    <xdr:to>
      <xdr:col>68</xdr:col>
      <xdr:colOff>828</xdr:colOff>
      <xdr:row>92</xdr:row>
      <xdr:rowOff>98448</xdr:rowOff>
    </xdr:to>
    <xdr:pic>
      <xdr:nvPicPr>
        <xdr:cNvPr id="43" name="Рисунок 42">
          <a:extLst>
            <a:ext uri="{FF2B5EF4-FFF2-40B4-BE49-F238E27FC236}">
              <a16:creationId xmlns:a16="http://schemas.microsoft.com/office/drawing/2014/main" id="{181C9595-256A-468B-A3E0-29131BE497C1}"/>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6651763" y="10344150"/>
          <a:ext cx="702365" cy="441348"/>
        </a:xfrm>
        <a:prstGeom prst="rect">
          <a:avLst/>
        </a:prstGeom>
      </xdr:spPr>
    </xdr:pic>
    <xdr:clientData/>
  </xdr:twoCellAnchor>
  <xdr:twoCellAnchor editAs="oneCell">
    <xdr:from>
      <xdr:col>11</xdr:col>
      <xdr:colOff>8283</xdr:colOff>
      <xdr:row>53</xdr:row>
      <xdr:rowOff>97714</xdr:rowOff>
    </xdr:from>
    <xdr:to>
      <xdr:col>18</xdr:col>
      <xdr:colOff>47625</xdr:colOff>
      <xdr:row>59</xdr:row>
      <xdr:rowOff>20203</xdr:rowOff>
    </xdr:to>
    <xdr:pic>
      <xdr:nvPicPr>
        <xdr:cNvPr id="44" name="Рисунок 43">
          <a:extLst>
            <a:ext uri="{FF2B5EF4-FFF2-40B4-BE49-F238E27FC236}">
              <a16:creationId xmlns:a16="http://schemas.microsoft.com/office/drawing/2014/main" id="{E598F773-8FD5-42D9-9BB4-C4C55A76D345}"/>
            </a:ext>
          </a:extLst>
        </xdr:cNvPr>
        <xdr:cNvPicPr>
          <a:picLocks noChangeAspect="1"/>
        </xdr:cNvPicPr>
      </xdr:nvPicPr>
      <xdr:blipFill rotWithShape="1">
        <a:blip xmlns:r="http://schemas.openxmlformats.org/officeDocument/2006/relationships" r:embed="rId42" cstate="email">
          <a:extLst>
            <a:ext uri="{BEBA8EAE-BF5A-486C-A8C5-ECC9F3942E4B}">
              <a14:imgProps xmlns:a14="http://schemas.microsoft.com/office/drawing/2010/main">
                <a14:imgLayer r:embed="rId43">
                  <a14:imgEffect>
                    <a14:sharpenSoften amount="80000"/>
                  </a14:imgEffect>
                </a14:imgLayer>
              </a14:imgProps>
            </a:ext>
            <a:ext uri="{28A0092B-C50C-407E-A947-70E740481C1C}">
              <a14:useLocalDpi xmlns:a14="http://schemas.microsoft.com/office/drawing/2010/main"/>
            </a:ext>
          </a:extLst>
        </a:blip>
        <a:srcRect/>
        <a:stretch/>
      </xdr:blipFill>
      <xdr:spPr>
        <a:xfrm>
          <a:off x="1075083" y="6527089"/>
          <a:ext cx="963267" cy="608289"/>
        </a:xfrm>
        <a:prstGeom prst="rect">
          <a:avLst/>
        </a:prstGeom>
      </xdr:spPr>
    </xdr:pic>
    <xdr:clientData/>
  </xdr:twoCellAnchor>
  <xdr:twoCellAnchor editAs="oneCell">
    <xdr:from>
      <xdr:col>21</xdr:col>
      <xdr:colOff>24849</xdr:colOff>
      <xdr:row>53</xdr:row>
      <xdr:rowOff>49696</xdr:rowOff>
    </xdr:from>
    <xdr:to>
      <xdr:col>29</xdr:col>
      <xdr:colOff>61292</xdr:colOff>
      <xdr:row>59</xdr:row>
      <xdr:rowOff>56953</xdr:rowOff>
    </xdr:to>
    <xdr:pic>
      <xdr:nvPicPr>
        <xdr:cNvPr id="45" name="Рисунок 44">
          <a:extLst>
            <a:ext uri="{FF2B5EF4-FFF2-40B4-BE49-F238E27FC236}">
              <a16:creationId xmlns:a16="http://schemas.microsoft.com/office/drawing/2014/main" id="{C676C1E5-C2C4-4259-9213-9E82A1E4E37C}"/>
            </a:ext>
          </a:extLst>
        </xdr:cNvPr>
        <xdr:cNvPicPr>
          <a:picLocks noChangeAspect="1"/>
        </xdr:cNvPicPr>
      </xdr:nvPicPr>
      <xdr:blipFill rotWithShape="1">
        <a:blip xmlns:r="http://schemas.openxmlformats.org/officeDocument/2006/relationships" r:embed="rId44" cstate="email">
          <a:extLst>
            <a:ext uri="{BEBA8EAE-BF5A-486C-A8C5-ECC9F3942E4B}">
              <a14:imgProps xmlns:a14="http://schemas.microsoft.com/office/drawing/2010/main">
                <a14:imgLayer r:embed="rId45">
                  <a14:imgEffect>
                    <a14:sharpenSoften amount="100000"/>
                  </a14:imgEffect>
                </a14:imgLayer>
              </a14:imgProps>
            </a:ext>
            <a:ext uri="{28A0092B-C50C-407E-A947-70E740481C1C}">
              <a14:useLocalDpi xmlns:a14="http://schemas.microsoft.com/office/drawing/2010/main"/>
            </a:ext>
          </a:extLst>
        </a:blip>
        <a:srcRect/>
        <a:stretch/>
      </xdr:blipFill>
      <xdr:spPr>
        <a:xfrm>
          <a:off x="2196549" y="6479071"/>
          <a:ext cx="1103243" cy="693057"/>
        </a:xfrm>
        <a:prstGeom prst="rect">
          <a:avLst/>
        </a:prstGeom>
      </xdr:spPr>
    </xdr:pic>
    <xdr:clientData/>
  </xdr:twoCellAnchor>
  <xdr:twoCellAnchor editAs="oneCell">
    <xdr:from>
      <xdr:col>69</xdr:col>
      <xdr:colOff>19050</xdr:colOff>
      <xdr:row>0</xdr:row>
      <xdr:rowOff>638175</xdr:rowOff>
    </xdr:from>
    <xdr:to>
      <xdr:col>74</xdr:col>
      <xdr:colOff>14250</xdr:colOff>
      <xdr:row>1</xdr:row>
      <xdr:rowOff>32692</xdr:rowOff>
    </xdr:to>
    <xdr:pic>
      <xdr:nvPicPr>
        <xdr:cNvPr id="2" name="Рисунок 1">
          <a:extLst>
            <a:ext uri="{FF2B5EF4-FFF2-40B4-BE49-F238E27FC236}">
              <a16:creationId xmlns:a16="http://schemas.microsoft.com/office/drawing/2014/main" id="{C195A7BB-F317-4A63-86EF-EA00B081837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rot="20918134">
          <a:off x="8248650" y="638175"/>
          <a:ext cx="547650" cy="547042"/>
        </a:xfrm>
        <a:prstGeom prst="rect">
          <a:avLst/>
        </a:prstGeom>
      </xdr:spPr>
    </xdr:pic>
    <xdr:clientData/>
  </xdr:twoCellAnchor>
  <xdr:twoCellAnchor editAs="oneCell">
    <xdr:from>
      <xdr:col>14</xdr:col>
      <xdr:colOff>76200</xdr:colOff>
      <xdr:row>0</xdr:row>
      <xdr:rowOff>142875</xdr:rowOff>
    </xdr:from>
    <xdr:to>
      <xdr:col>47</xdr:col>
      <xdr:colOff>47625</xdr:colOff>
      <xdr:row>0</xdr:row>
      <xdr:rowOff>1009650</xdr:rowOff>
    </xdr:to>
    <xdr:pic>
      <xdr:nvPicPr>
        <xdr:cNvPr id="47" name="Рисунок 46">
          <a:extLst>
            <a:ext uri="{FF2B5EF4-FFF2-40B4-BE49-F238E27FC236}">
              <a16:creationId xmlns:a16="http://schemas.microsoft.com/office/drawing/2014/main" id="{DB50669A-81E2-4BDB-8997-5CC85092E57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1562100" y="14287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49697</xdr:colOff>
      <xdr:row>6</xdr:row>
      <xdr:rowOff>16567</xdr:rowOff>
    </xdr:from>
    <xdr:to>
      <xdr:col>9</xdr:col>
      <xdr:colOff>51899</xdr:colOff>
      <xdr:row>14</xdr:row>
      <xdr:rowOff>49697</xdr:rowOff>
    </xdr:to>
    <xdr:pic>
      <xdr:nvPicPr>
        <xdr:cNvPr id="3" name="Рисунок 2">
          <a:extLst>
            <a:ext uri="{FF2B5EF4-FFF2-40B4-BE49-F238E27FC236}">
              <a16:creationId xmlns:a16="http://schemas.microsoft.com/office/drawing/2014/main" id="{846750AD-5F48-45B4-ACCE-90F42A6D6B94}"/>
            </a:ext>
          </a:extLst>
        </xdr:cNvPr>
        <xdr:cNvPicPr>
          <a:picLocks noChangeAspect="1"/>
        </xdr:cNvPicPr>
      </xdr:nvPicPr>
      <xdr:blipFill rotWithShape="1">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8747" y="1292917"/>
          <a:ext cx="916602" cy="957054"/>
        </a:xfrm>
        <a:prstGeom prst="rect">
          <a:avLst/>
        </a:prstGeom>
      </xdr:spPr>
    </xdr:pic>
    <xdr:clientData/>
  </xdr:twoCellAnchor>
  <xdr:twoCellAnchor editAs="oneCell">
    <xdr:from>
      <xdr:col>11</xdr:col>
      <xdr:colOff>66262</xdr:colOff>
      <xdr:row>6</xdr:row>
      <xdr:rowOff>24847</xdr:rowOff>
    </xdr:from>
    <xdr:to>
      <xdr:col>19</xdr:col>
      <xdr:colOff>83473</xdr:colOff>
      <xdr:row>14</xdr:row>
      <xdr:rowOff>99392</xdr:rowOff>
    </xdr:to>
    <xdr:pic>
      <xdr:nvPicPr>
        <xdr:cNvPr id="4" name="Рисунок 3">
          <a:extLst>
            <a:ext uri="{FF2B5EF4-FFF2-40B4-BE49-F238E27FC236}">
              <a16:creationId xmlns:a16="http://schemas.microsoft.com/office/drawing/2014/main" id="{996C425C-FB71-4892-8199-0532C6812EC5}"/>
            </a:ext>
          </a:extLst>
        </xdr:cNvPr>
        <xdr:cNvPicPr>
          <a:picLocks noChangeAspect="1"/>
        </xdr:cNvPicPr>
      </xdr:nvPicPr>
      <xdr:blipFill rotWithShape="1">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133062" y="1301197"/>
          <a:ext cx="931611" cy="998469"/>
        </a:xfrm>
        <a:prstGeom prst="rect">
          <a:avLst/>
        </a:prstGeom>
      </xdr:spPr>
    </xdr:pic>
    <xdr:clientData/>
  </xdr:twoCellAnchor>
  <xdr:twoCellAnchor editAs="oneCell">
    <xdr:from>
      <xdr:col>21</xdr:col>
      <xdr:colOff>115956</xdr:colOff>
      <xdr:row>6</xdr:row>
      <xdr:rowOff>8284</xdr:rowOff>
    </xdr:from>
    <xdr:to>
      <xdr:col>29</xdr:col>
      <xdr:colOff>66487</xdr:colOff>
      <xdr:row>15</xdr:row>
      <xdr:rowOff>24849</xdr:rowOff>
    </xdr:to>
    <xdr:pic>
      <xdr:nvPicPr>
        <xdr:cNvPr id="5" name="Рисунок 4">
          <a:extLst>
            <a:ext uri="{FF2B5EF4-FFF2-40B4-BE49-F238E27FC236}">
              <a16:creationId xmlns:a16="http://schemas.microsoft.com/office/drawing/2014/main" id="{8DD8E425-91E1-463C-8FF1-FE34486896CB}"/>
            </a:ext>
          </a:extLst>
        </xdr:cNvPr>
        <xdr:cNvPicPr>
          <a:picLocks noChangeAspect="1"/>
        </xdr:cNvPicPr>
      </xdr:nvPicPr>
      <xdr:blipFill rotWithShape="1">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230506" y="1284634"/>
          <a:ext cx="864931" cy="1054789"/>
        </a:xfrm>
        <a:prstGeom prst="rect">
          <a:avLst/>
        </a:prstGeom>
      </xdr:spPr>
    </xdr:pic>
    <xdr:clientData/>
  </xdr:twoCellAnchor>
  <xdr:twoCellAnchor editAs="oneCell">
    <xdr:from>
      <xdr:col>32</xdr:col>
      <xdr:colOff>1</xdr:colOff>
      <xdr:row>6</xdr:row>
      <xdr:rowOff>33132</xdr:rowOff>
    </xdr:from>
    <xdr:to>
      <xdr:col>39</xdr:col>
      <xdr:colOff>69752</xdr:colOff>
      <xdr:row>15</xdr:row>
      <xdr:rowOff>41414</xdr:rowOff>
    </xdr:to>
    <xdr:pic>
      <xdr:nvPicPr>
        <xdr:cNvPr id="6" name="Рисунок 5">
          <a:extLst>
            <a:ext uri="{FF2B5EF4-FFF2-40B4-BE49-F238E27FC236}">
              <a16:creationId xmlns:a16="http://schemas.microsoft.com/office/drawing/2014/main" id="{5F19B0F5-FF6C-43DC-BE28-9449A0C87707}"/>
            </a:ext>
          </a:extLst>
        </xdr:cNvPr>
        <xdr:cNvPicPr>
          <a:picLocks noChangeAspect="1"/>
        </xdr:cNvPicPr>
      </xdr:nvPicPr>
      <xdr:blipFill rotWithShape="1">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276601" y="1309482"/>
          <a:ext cx="869851" cy="1046506"/>
        </a:xfrm>
        <a:prstGeom prst="rect">
          <a:avLst/>
        </a:prstGeom>
      </xdr:spPr>
    </xdr:pic>
    <xdr:clientData/>
  </xdr:twoCellAnchor>
  <xdr:twoCellAnchor editAs="oneCell">
    <xdr:from>
      <xdr:col>41</xdr:col>
      <xdr:colOff>57978</xdr:colOff>
      <xdr:row>6</xdr:row>
      <xdr:rowOff>49697</xdr:rowOff>
    </xdr:from>
    <xdr:to>
      <xdr:col>49</xdr:col>
      <xdr:colOff>80679</xdr:colOff>
      <xdr:row>14</xdr:row>
      <xdr:rowOff>107675</xdr:rowOff>
    </xdr:to>
    <xdr:pic>
      <xdr:nvPicPr>
        <xdr:cNvPr id="7" name="Рисунок 6">
          <a:extLst>
            <a:ext uri="{FF2B5EF4-FFF2-40B4-BE49-F238E27FC236}">
              <a16:creationId xmlns:a16="http://schemas.microsoft.com/office/drawing/2014/main" id="{7DCB535E-C548-4506-971F-38CEE00D4CDB}"/>
            </a:ext>
          </a:extLst>
        </xdr:cNvPr>
        <xdr:cNvPicPr>
          <a:picLocks noChangeAspect="1"/>
        </xdr:cNvPicPr>
      </xdr:nvPicPr>
      <xdr:blipFill rotWithShape="1">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4268028" y="1326047"/>
          <a:ext cx="937101" cy="981902"/>
        </a:xfrm>
        <a:prstGeom prst="rect">
          <a:avLst/>
        </a:prstGeom>
      </xdr:spPr>
    </xdr:pic>
    <xdr:clientData/>
  </xdr:twoCellAnchor>
  <xdr:twoCellAnchor editAs="oneCell">
    <xdr:from>
      <xdr:col>51</xdr:col>
      <xdr:colOff>49695</xdr:colOff>
      <xdr:row>6</xdr:row>
      <xdr:rowOff>91110</xdr:rowOff>
    </xdr:from>
    <xdr:to>
      <xdr:col>59</xdr:col>
      <xdr:colOff>82826</xdr:colOff>
      <xdr:row>15</xdr:row>
      <xdr:rowOff>44574</xdr:rowOff>
    </xdr:to>
    <xdr:pic>
      <xdr:nvPicPr>
        <xdr:cNvPr id="8" name="Рисунок 7">
          <a:extLst>
            <a:ext uri="{FF2B5EF4-FFF2-40B4-BE49-F238E27FC236}">
              <a16:creationId xmlns:a16="http://schemas.microsoft.com/office/drawing/2014/main" id="{6291A393-4EDB-4915-9BB7-B5311DF9D779}"/>
            </a:ext>
          </a:extLst>
        </xdr:cNvPr>
        <xdr:cNvPicPr>
          <a:picLocks noChangeAspect="1"/>
        </xdr:cNvPicPr>
      </xdr:nvPicPr>
      <xdr:blipFill rotWithShape="1">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5307495" y="1367460"/>
          <a:ext cx="947531" cy="991688"/>
        </a:xfrm>
        <a:prstGeom prst="rect">
          <a:avLst/>
        </a:prstGeom>
      </xdr:spPr>
    </xdr:pic>
    <xdr:clientData/>
  </xdr:twoCellAnchor>
  <xdr:twoCellAnchor editAs="oneCell">
    <xdr:from>
      <xdr:col>61</xdr:col>
      <xdr:colOff>49695</xdr:colOff>
      <xdr:row>6</xdr:row>
      <xdr:rowOff>99392</xdr:rowOff>
    </xdr:from>
    <xdr:to>
      <xdr:col>69</xdr:col>
      <xdr:colOff>76515</xdr:colOff>
      <xdr:row>15</xdr:row>
      <xdr:rowOff>49696</xdr:rowOff>
    </xdr:to>
    <xdr:pic>
      <xdr:nvPicPr>
        <xdr:cNvPr id="9" name="Рисунок 8">
          <a:extLst>
            <a:ext uri="{FF2B5EF4-FFF2-40B4-BE49-F238E27FC236}">
              <a16:creationId xmlns:a16="http://schemas.microsoft.com/office/drawing/2014/main" id="{1EEB2A6C-31EF-4783-A70F-2D75BEA83BC1}"/>
            </a:ext>
          </a:extLst>
        </xdr:cNvPr>
        <xdr:cNvPicPr>
          <a:picLocks noChangeAspect="1"/>
        </xdr:cNvPicPr>
      </xdr:nvPicPr>
      <xdr:blipFill rotWithShape="1">
        <a:blip xmlns:r="http://schemas.openxmlformats.org/officeDocument/2006/relationships" r:embed="rId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355245" y="1375742"/>
          <a:ext cx="941220" cy="988528"/>
        </a:xfrm>
        <a:prstGeom prst="rect">
          <a:avLst/>
        </a:prstGeom>
      </xdr:spPr>
    </xdr:pic>
    <xdr:clientData/>
  </xdr:twoCellAnchor>
  <xdr:twoCellAnchor editAs="oneCell">
    <xdr:from>
      <xdr:col>2</xdr:col>
      <xdr:colOff>41414</xdr:colOff>
      <xdr:row>20</xdr:row>
      <xdr:rowOff>8282</xdr:rowOff>
    </xdr:from>
    <xdr:to>
      <xdr:col>9</xdr:col>
      <xdr:colOff>14114</xdr:colOff>
      <xdr:row>28</xdr:row>
      <xdr:rowOff>49695</xdr:rowOff>
    </xdr:to>
    <xdr:pic>
      <xdr:nvPicPr>
        <xdr:cNvPr id="10" name="Рисунок 9">
          <a:extLst>
            <a:ext uri="{FF2B5EF4-FFF2-40B4-BE49-F238E27FC236}">
              <a16:creationId xmlns:a16="http://schemas.microsoft.com/office/drawing/2014/main" id="{0A503702-6C97-4E59-9B15-F111EEF216B6}"/>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74764" y="2799107"/>
          <a:ext cx="772800" cy="965338"/>
        </a:xfrm>
        <a:prstGeom prst="rect">
          <a:avLst/>
        </a:prstGeom>
      </xdr:spPr>
    </xdr:pic>
    <xdr:clientData/>
  </xdr:twoCellAnchor>
  <xdr:twoCellAnchor editAs="oneCell">
    <xdr:from>
      <xdr:col>11</xdr:col>
      <xdr:colOff>99393</xdr:colOff>
      <xdr:row>20</xdr:row>
      <xdr:rowOff>8284</xdr:rowOff>
    </xdr:from>
    <xdr:to>
      <xdr:col>18</xdr:col>
      <xdr:colOff>90922</xdr:colOff>
      <xdr:row>28</xdr:row>
      <xdr:rowOff>57979</xdr:rowOff>
    </xdr:to>
    <xdr:pic>
      <xdr:nvPicPr>
        <xdr:cNvPr id="11" name="Рисунок 10">
          <a:extLst>
            <a:ext uri="{FF2B5EF4-FFF2-40B4-BE49-F238E27FC236}">
              <a16:creationId xmlns:a16="http://schemas.microsoft.com/office/drawing/2014/main" id="{BCDA4DFF-2C19-4423-B8AA-19C5EC0982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166193" y="2799109"/>
          <a:ext cx="791629" cy="973620"/>
        </a:xfrm>
        <a:prstGeom prst="rect">
          <a:avLst/>
        </a:prstGeom>
      </xdr:spPr>
    </xdr:pic>
    <xdr:clientData/>
  </xdr:twoCellAnchor>
  <xdr:twoCellAnchor editAs="oneCell">
    <xdr:from>
      <xdr:col>21</xdr:col>
      <xdr:colOff>99391</xdr:colOff>
      <xdr:row>20</xdr:row>
      <xdr:rowOff>16565</xdr:rowOff>
    </xdr:from>
    <xdr:to>
      <xdr:col>29</xdr:col>
      <xdr:colOff>16566</xdr:colOff>
      <xdr:row>28</xdr:row>
      <xdr:rowOff>106192</xdr:rowOff>
    </xdr:to>
    <xdr:pic>
      <xdr:nvPicPr>
        <xdr:cNvPr id="12" name="Рисунок 11">
          <a:extLst>
            <a:ext uri="{FF2B5EF4-FFF2-40B4-BE49-F238E27FC236}">
              <a16:creationId xmlns:a16="http://schemas.microsoft.com/office/drawing/2014/main" id="{38A5DAB4-FD8D-42D3-BCD9-F86BD72B16C4}"/>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2213941" y="2807390"/>
          <a:ext cx="831575" cy="1013552"/>
        </a:xfrm>
        <a:prstGeom prst="rect">
          <a:avLst/>
        </a:prstGeom>
      </xdr:spPr>
    </xdr:pic>
    <xdr:clientData/>
  </xdr:twoCellAnchor>
  <xdr:twoCellAnchor editAs="oneCell">
    <xdr:from>
      <xdr:col>32</xdr:col>
      <xdr:colOff>57980</xdr:colOff>
      <xdr:row>20</xdr:row>
      <xdr:rowOff>1</xdr:rowOff>
    </xdr:from>
    <xdr:to>
      <xdr:col>38</xdr:col>
      <xdr:colOff>70442</xdr:colOff>
      <xdr:row>28</xdr:row>
      <xdr:rowOff>99391</xdr:rowOff>
    </xdr:to>
    <xdr:pic>
      <xdr:nvPicPr>
        <xdr:cNvPr id="13" name="Рисунок 12">
          <a:extLst>
            <a:ext uri="{FF2B5EF4-FFF2-40B4-BE49-F238E27FC236}">
              <a16:creationId xmlns:a16="http://schemas.microsoft.com/office/drawing/2014/main" id="{50C1B92F-706A-462D-963B-4952621DB18A}"/>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3334580" y="2790826"/>
          <a:ext cx="698262" cy="1023315"/>
        </a:xfrm>
        <a:prstGeom prst="rect">
          <a:avLst/>
        </a:prstGeom>
      </xdr:spPr>
    </xdr:pic>
    <xdr:clientData/>
  </xdr:twoCellAnchor>
  <xdr:twoCellAnchor editAs="oneCell">
    <xdr:from>
      <xdr:col>42</xdr:col>
      <xdr:colOff>49696</xdr:colOff>
      <xdr:row>20</xdr:row>
      <xdr:rowOff>8284</xdr:rowOff>
    </xdr:from>
    <xdr:to>
      <xdr:col>48</xdr:col>
      <xdr:colOff>78765</xdr:colOff>
      <xdr:row>28</xdr:row>
      <xdr:rowOff>91108</xdr:rowOff>
    </xdr:to>
    <xdr:pic>
      <xdr:nvPicPr>
        <xdr:cNvPr id="14" name="Рисунок 13">
          <a:extLst>
            <a:ext uri="{FF2B5EF4-FFF2-40B4-BE49-F238E27FC236}">
              <a16:creationId xmlns:a16="http://schemas.microsoft.com/office/drawing/2014/main" id="{3E0CC738-21F4-43B7-A055-0E332F002D8B}"/>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4374046" y="2799109"/>
          <a:ext cx="714869" cy="1006749"/>
        </a:xfrm>
        <a:prstGeom prst="rect">
          <a:avLst/>
        </a:prstGeom>
      </xdr:spPr>
    </xdr:pic>
    <xdr:clientData/>
  </xdr:twoCellAnchor>
  <xdr:twoCellAnchor editAs="oneCell">
    <xdr:from>
      <xdr:col>52</xdr:col>
      <xdr:colOff>74544</xdr:colOff>
      <xdr:row>19</xdr:row>
      <xdr:rowOff>107677</xdr:rowOff>
    </xdr:from>
    <xdr:to>
      <xdr:col>58</xdr:col>
      <xdr:colOff>80048</xdr:colOff>
      <xdr:row>28</xdr:row>
      <xdr:rowOff>82828</xdr:rowOff>
    </xdr:to>
    <xdr:pic>
      <xdr:nvPicPr>
        <xdr:cNvPr id="15" name="Рисунок 14">
          <a:extLst>
            <a:ext uri="{FF2B5EF4-FFF2-40B4-BE49-F238E27FC236}">
              <a16:creationId xmlns:a16="http://schemas.microsoft.com/office/drawing/2014/main" id="{813237AA-6D76-48F6-A97B-CA5E493454E5}"/>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5446644" y="2784202"/>
          <a:ext cx="691304" cy="1013375"/>
        </a:xfrm>
        <a:prstGeom prst="rect">
          <a:avLst/>
        </a:prstGeom>
      </xdr:spPr>
    </xdr:pic>
    <xdr:clientData/>
  </xdr:twoCellAnchor>
  <xdr:twoCellAnchor editAs="oneCell">
    <xdr:from>
      <xdr:col>62</xdr:col>
      <xdr:colOff>66262</xdr:colOff>
      <xdr:row>20</xdr:row>
      <xdr:rowOff>1</xdr:rowOff>
    </xdr:from>
    <xdr:to>
      <xdr:col>68</xdr:col>
      <xdr:colOff>65867</xdr:colOff>
      <xdr:row>28</xdr:row>
      <xdr:rowOff>82826</xdr:rowOff>
    </xdr:to>
    <xdr:pic>
      <xdr:nvPicPr>
        <xdr:cNvPr id="16" name="Рисунок 15">
          <a:extLst>
            <a:ext uri="{FF2B5EF4-FFF2-40B4-BE49-F238E27FC236}">
              <a16:creationId xmlns:a16="http://schemas.microsoft.com/office/drawing/2014/main" id="{A901314C-7956-48B7-943E-B2EA15150A11}"/>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6486112" y="2790826"/>
          <a:ext cx="685405" cy="1006750"/>
        </a:xfrm>
        <a:prstGeom prst="rect">
          <a:avLst/>
        </a:prstGeom>
      </xdr:spPr>
    </xdr:pic>
    <xdr:clientData/>
  </xdr:twoCellAnchor>
  <xdr:twoCellAnchor editAs="oneCell">
    <xdr:from>
      <xdr:col>2</xdr:col>
      <xdr:colOff>8283</xdr:colOff>
      <xdr:row>34</xdr:row>
      <xdr:rowOff>2</xdr:rowOff>
    </xdr:from>
    <xdr:to>
      <xdr:col>8</xdr:col>
      <xdr:colOff>16565</xdr:colOff>
      <xdr:row>42</xdr:row>
      <xdr:rowOff>70379</xdr:rowOff>
    </xdr:to>
    <xdr:pic>
      <xdr:nvPicPr>
        <xdr:cNvPr id="17" name="Рисунок 16">
          <a:extLst>
            <a:ext uri="{FF2B5EF4-FFF2-40B4-BE49-F238E27FC236}">
              <a16:creationId xmlns:a16="http://schemas.microsoft.com/office/drawing/2014/main" id="{B20CD428-741E-41F6-8439-0BA7E93AA9D5}"/>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1633" y="4305302"/>
          <a:ext cx="694082" cy="994303"/>
        </a:xfrm>
        <a:prstGeom prst="rect">
          <a:avLst/>
        </a:prstGeom>
      </xdr:spPr>
    </xdr:pic>
    <xdr:clientData/>
  </xdr:twoCellAnchor>
  <xdr:twoCellAnchor editAs="oneCell">
    <xdr:from>
      <xdr:col>12</xdr:col>
      <xdr:colOff>79511</xdr:colOff>
      <xdr:row>34</xdr:row>
      <xdr:rowOff>31476</xdr:rowOff>
    </xdr:from>
    <xdr:to>
      <xdr:col>18</xdr:col>
      <xdr:colOff>87795</xdr:colOff>
      <xdr:row>42</xdr:row>
      <xdr:rowOff>113140</xdr:rowOff>
    </xdr:to>
    <xdr:pic>
      <xdr:nvPicPr>
        <xdr:cNvPr id="18" name="Рисунок 17">
          <a:extLst>
            <a:ext uri="{FF2B5EF4-FFF2-40B4-BE49-F238E27FC236}">
              <a16:creationId xmlns:a16="http://schemas.microsoft.com/office/drawing/2014/main" id="{4D09FA2F-2C1E-481A-8368-FAE613816A75}"/>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355861" y="5032101"/>
          <a:ext cx="694084" cy="1005589"/>
        </a:xfrm>
        <a:prstGeom prst="rect">
          <a:avLst/>
        </a:prstGeom>
      </xdr:spPr>
    </xdr:pic>
    <xdr:clientData/>
  </xdr:twoCellAnchor>
  <xdr:twoCellAnchor editAs="oneCell">
    <xdr:from>
      <xdr:col>21</xdr:col>
      <xdr:colOff>82828</xdr:colOff>
      <xdr:row>34</xdr:row>
      <xdr:rowOff>16565</xdr:rowOff>
    </xdr:from>
    <xdr:to>
      <xdr:col>29</xdr:col>
      <xdr:colOff>88484</xdr:colOff>
      <xdr:row>41</xdr:row>
      <xdr:rowOff>107673</xdr:rowOff>
    </xdr:to>
    <xdr:pic>
      <xdr:nvPicPr>
        <xdr:cNvPr id="19" name="Рисунок 18">
          <a:extLst>
            <a:ext uri="{FF2B5EF4-FFF2-40B4-BE49-F238E27FC236}">
              <a16:creationId xmlns:a16="http://schemas.microsoft.com/office/drawing/2014/main" id="{C7A99D57-542D-480D-A429-710B1E649021}"/>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2197378" y="4321865"/>
          <a:ext cx="920056" cy="900733"/>
        </a:xfrm>
        <a:prstGeom prst="rect">
          <a:avLst/>
        </a:prstGeom>
      </xdr:spPr>
    </xdr:pic>
    <xdr:clientData/>
  </xdr:twoCellAnchor>
  <xdr:twoCellAnchor editAs="oneCell">
    <xdr:from>
      <xdr:col>31</xdr:col>
      <xdr:colOff>57980</xdr:colOff>
      <xdr:row>34</xdr:row>
      <xdr:rowOff>8281</xdr:rowOff>
    </xdr:from>
    <xdr:to>
      <xdr:col>39</xdr:col>
      <xdr:colOff>74544</xdr:colOff>
      <xdr:row>41</xdr:row>
      <xdr:rowOff>107888</xdr:rowOff>
    </xdr:to>
    <xdr:pic>
      <xdr:nvPicPr>
        <xdr:cNvPr id="20" name="Рисунок 19">
          <a:extLst>
            <a:ext uri="{FF2B5EF4-FFF2-40B4-BE49-F238E27FC236}">
              <a16:creationId xmlns:a16="http://schemas.microsoft.com/office/drawing/2014/main" id="{42A66322-4E59-42CA-8321-215151CD2901}"/>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3220280" y="4313581"/>
          <a:ext cx="930964" cy="909232"/>
        </a:xfrm>
        <a:prstGeom prst="rect">
          <a:avLst/>
        </a:prstGeom>
      </xdr:spPr>
    </xdr:pic>
    <xdr:clientData/>
  </xdr:twoCellAnchor>
  <xdr:twoCellAnchor editAs="oneCell">
    <xdr:from>
      <xdr:col>41</xdr:col>
      <xdr:colOff>33132</xdr:colOff>
      <xdr:row>34</xdr:row>
      <xdr:rowOff>16566</xdr:rowOff>
    </xdr:from>
    <xdr:to>
      <xdr:col>49</xdr:col>
      <xdr:colOff>95186</xdr:colOff>
      <xdr:row>42</xdr:row>
      <xdr:rowOff>33131</xdr:rowOff>
    </xdr:to>
    <xdr:pic>
      <xdr:nvPicPr>
        <xdr:cNvPr id="21" name="Рисунок 20">
          <a:extLst>
            <a:ext uri="{FF2B5EF4-FFF2-40B4-BE49-F238E27FC236}">
              <a16:creationId xmlns:a16="http://schemas.microsoft.com/office/drawing/2014/main" id="{E1004B39-AD84-4D87-8771-F027F58A6A1E}"/>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243182" y="4321866"/>
          <a:ext cx="976454" cy="940491"/>
        </a:xfrm>
        <a:prstGeom prst="rect">
          <a:avLst/>
        </a:prstGeom>
      </xdr:spPr>
    </xdr:pic>
    <xdr:clientData/>
  </xdr:twoCellAnchor>
  <xdr:twoCellAnchor editAs="oneCell">
    <xdr:from>
      <xdr:col>51</xdr:col>
      <xdr:colOff>41414</xdr:colOff>
      <xdr:row>34</xdr:row>
      <xdr:rowOff>74543</xdr:rowOff>
    </xdr:from>
    <xdr:to>
      <xdr:col>59</xdr:col>
      <xdr:colOff>117613</xdr:colOff>
      <xdr:row>41</xdr:row>
      <xdr:rowOff>88249</xdr:rowOff>
    </xdr:to>
    <xdr:pic>
      <xdr:nvPicPr>
        <xdr:cNvPr id="22" name="Рисунок 21">
          <a:extLst>
            <a:ext uri="{FF2B5EF4-FFF2-40B4-BE49-F238E27FC236}">
              <a16:creationId xmlns:a16="http://schemas.microsoft.com/office/drawing/2014/main" id="{9187D261-8200-4E2E-A09C-B9E72068D5D9}"/>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299214" y="4379843"/>
          <a:ext cx="990599" cy="823331"/>
        </a:xfrm>
        <a:prstGeom prst="rect">
          <a:avLst/>
        </a:prstGeom>
      </xdr:spPr>
    </xdr:pic>
    <xdr:clientData/>
  </xdr:twoCellAnchor>
  <xdr:twoCellAnchor editAs="oneCell">
    <xdr:from>
      <xdr:col>61</xdr:col>
      <xdr:colOff>33130</xdr:colOff>
      <xdr:row>34</xdr:row>
      <xdr:rowOff>24847</xdr:rowOff>
    </xdr:from>
    <xdr:to>
      <xdr:col>69</xdr:col>
      <xdr:colOff>92203</xdr:colOff>
      <xdr:row>42</xdr:row>
      <xdr:rowOff>0</xdr:rowOff>
    </xdr:to>
    <xdr:pic>
      <xdr:nvPicPr>
        <xdr:cNvPr id="23" name="Рисунок 22">
          <a:extLst>
            <a:ext uri="{FF2B5EF4-FFF2-40B4-BE49-F238E27FC236}">
              <a16:creationId xmlns:a16="http://schemas.microsoft.com/office/drawing/2014/main" id="{A34F20A3-EBD3-446C-8D23-516EDDACCE88}"/>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6338680" y="4330147"/>
          <a:ext cx="973473" cy="899079"/>
        </a:xfrm>
        <a:prstGeom prst="rect">
          <a:avLst/>
        </a:prstGeom>
      </xdr:spPr>
    </xdr:pic>
    <xdr:clientData/>
  </xdr:twoCellAnchor>
  <xdr:twoCellAnchor editAs="oneCell">
    <xdr:from>
      <xdr:col>1</xdr:col>
      <xdr:colOff>33131</xdr:colOff>
      <xdr:row>48</xdr:row>
      <xdr:rowOff>16565</xdr:rowOff>
    </xdr:from>
    <xdr:to>
      <xdr:col>9</xdr:col>
      <xdr:colOff>95251</xdr:colOff>
      <xdr:row>56</xdr:row>
      <xdr:rowOff>0</xdr:rowOff>
    </xdr:to>
    <xdr:pic>
      <xdr:nvPicPr>
        <xdr:cNvPr id="24" name="Рисунок 23">
          <a:extLst>
            <a:ext uri="{FF2B5EF4-FFF2-40B4-BE49-F238E27FC236}">
              <a16:creationId xmlns:a16="http://schemas.microsoft.com/office/drawing/2014/main" id="{7D77CE2A-F321-4877-B78A-A4FA963A7426}"/>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52181" y="5836340"/>
          <a:ext cx="976520" cy="897835"/>
        </a:xfrm>
        <a:prstGeom prst="rect">
          <a:avLst/>
        </a:prstGeom>
      </xdr:spPr>
    </xdr:pic>
    <xdr:clientData/>
  </xdr:twoCellAnchor>
  <xdr:twoCellAnchor editAs="oneCell">
    <xdr:from>
      <xdr:col>11</xdr:col>
      <xdr:colOff>57979</xdr:colOff>
      <xdr:row>48</xdr:row>
      <xdr:rowOff>49698</xdr:rowOff>
    </xdr:from>
    <xdr:to>
      <xdr:col>19</xdr:col>
      <xdr:colOff>62727</xdr:colOff>
      <xdr:row>55</xdr:row>
      <xdr:rowOff>99392</xdr:rowOff>
    </xdr:to>
    <xdr:pic>
      <xdr:nvPicPr>
        <xdr:cNvPr id="25" name="Рисунок 24">
          <a:extLst>
            <a:ext uri="{FF2B5EF4-FFF2-40B4-BE49-F238E27FC236}">
              <a16:creationId xmlns:a16="http://schemas.microsoft.com/office/drawing/2014/main" id="{78A758DB-4FE8-4EBB-9459-7E7FC6A5875D}"/>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1124779" y="5869473"/>
          <a:ext cx="919148" cy="849793"/>
        </a:xfrm>
        <a:prstGeom prst="rect">
          <a:avLst/>
        </a:prstGeom>
      </xdr:spPr>
    </xdr:pic>
    <xdr:clientData/>
  </xdr:twoCellAnchor>
  <xdr:twoCellAnchor editAs="oneCell">
    <xdr:from>
      <xdr:col>21</xdr:col>
      <xdr:colOff>33130</xdr:colOff>
      <xdr:row>48</xdr:row>
      <xdr:rowOff>33131</xdr:rowOff>
    </xdr:from>
    <xdr:to>
      <xdr:col>29</xdr:col>
      <xdr:colOff>58696</xdr:colOff>
      <xdr:row>56</xdr:row>
      <xdr:rowOff>66262</xdr:rowOff>
    </xdr:to>
    <xdr:pic>
      <xdr:nvPicPr>
        <xdr:cNvPr id="26" name="Рисунок 25">
          <a:extLst>
            <a:ext uri="{FF2B5EF4-FFF2-40B4-BE49-F238E27FC236}">
              <a16:creationId xmlns:a16="http://schemas.microsoft.com/office/drawing/2014/main" id="{561468F1-8585-42C1-88B0-4A076DF06D09}"/>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147680" y="5852906"/>
          <a:ext cx="939966" cy="947531"/>
        </a:xfrm>
        <a:prstGeom prst="rect">
          <a:avLst/>
        </a:prstGeom>
      </xdr:spPr>
    </xdr:pic>
    <xdr:clientData/>
  </xdr:twoCellAnchor>
  <xdr:twoCellAnchor editAs="oneCell">
    <xdr:from>
      <xdr:col>31</xdr:col>
      <xdr:colOff>57978</xdr:colOff>
      <xdr:row>48</xdr:row>
      <xdr:rowOff>49696</xdr:rowOff>
    </xdr:from>
    <xdr:to>
      <xdr:col>39</xdr:col>
      <xdr:colOff>91556</xdr:colOff>
      <xdr:row>56</xdr:row>
      <xdr:rowOff>57978</xdr:rowOff>
    </xdr:to>
    <xdr:pic>
      <xdr:nvPicPr>
        <xdr:cNvPr id="27" name="Рисунок 26">
          <a:extLst>
            <a:ext uri="{FF2B5EF4-FFF2-40B4-BE49-F238E27FC236}">
              <a16:creationId xmlns:a16="http://schemas.microsoft.com/office/drawing/2014/main" id="{E3AE0CBA-DEE8-4881-A8DE-1D89D18C0EF6}"/>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3220278" y="5869471"/>
          <a:ext cx="947978" cy="922682"/>
        </a:xfrm>
        <a:prstGeom prst="rect">
          <a:avLst/>
        </a:prstGeom>
      </xdr:spPr>
    </xdr:pic>
    <xdr:clientData/>
  </xdr:twoCellAnchor>
  <xdr:twoCellAnchor editAs="oneCell">
    <xdr:from>
      <xdr:col>41</xdr:col>
      <xdr:colOff>49696</xdr:colOff>
      <xdr:row>48</xdr:row>
      <xdr:rowOff>16567</xdr:rowOff>
    </xdr:from>
    <xdr:to>
      <xdr:col>49</xdr:col>
      <xdr:colOff>82827</xdr:colOff>
      <xdr:row>56</xdr:row>
      <xdr:rowOff>49697</xdr:rowOff>
    </xdr:to>
    <xdr:pic>
      <xdr:nvPicPr>
        <xdr:cNvPr id="28" name="Рисунок 27">
          <a:extLst>
            <a:ext uri="{FF2B5EF4-FFF2-40B4-BE49-F238E27FC236}">
              <a16:creationId xmlns:a16="http://schemas.microsoft.com/office/drawing/2014/main" id="{82668A42-1CA7-4687-81A8-6E05B4E9ECCE}"/>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259746" y="5836342"/>
          <a:ext cx="947531" cy="947530"/>
        </a:xfrm>
        <a:prstGeom prst="rect">
          <a:avLst/>
        </a:prstGeom>
      </xdr:spPr>
    </xdr:pic>
    <xdr:clientData/>
  </xdr:twoCellAnchor>
  <xdr:twoCellAnchor editAs="oneCell">
    <xdr:from>
      <xdr:col>51</xdr:col>
      <xdr:colOff>66262</xdr:colOff>
      <xdr:row>49</xdr:row>
      <xdr:rowOff>74544</xdr:rowOff>
    </xdr:from>
    <xdr:to>
      <xdr:col>59</xdr:col>
      <xdr:colOff>108188</xdr:colOff>
      <xdr:row>54</xdr:row>
      <xdr:rowOff>107673</xdr:rowOff>
    </xdr:to>
    <xdr:pic>
      <xdr:nvPicPr>
        <xdr:cNvPr id="29" name="Рисунок 28">
          <a:extLst>
            <a:ext uri="{FF2B5EF4-FFF2-40B4-BE49-F238E27FC236}">
              <a16:creationId xmlns:a16="http://schemas.microsoft.com/office/drawing/2014/main" id="{3DBF99AA-FDD5-4185-8440-9619D689B77A}"/>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5324062" y="6008619"/>
          <a:ext cx="956326" cy="604630"/>
        </a:xfrm>
        <a:prstGeom prst="rect">
          <a:avLst/>
        </a:prstGeom>
      </xdr:spPr>
    </xdr:pic>
    <xdr:clientData/>
  </xdr:twoCellAnchor>
  <xdr:twoCellAnchor editAs="oneCell">
    <xdr:from>
      <xdr:col>61</xdr:col>
      <xdr:colOff>49696</xdr:colOff>
      <xdr:row>49</xdr:row>
      <xdr:rowOff>57979</xdr:rowOff>
    </xdr:from>
    <xdr:to>
      <xdr:col>69</xdr:col>
      <xdr:colOff>82083</xdr:colOff>
      <xdr:row>55</xdr:row>
      <xdr:rowOff>91108</xdr:rowOff>
    </xdr:to>
    <xdr:pic>
      <xdr:nvPicPr>
        <xdr:cNvPr id="30" name="Рисунок 29">
          <a:extLst>
            <a:ext uri="{FF2B5EF4-FFF2-40B4-BE49-F238E27FC236}">
              <a16:creationId xmlns:a16="http://schemas.microsoft.com/office/drawing/2014/main" id="{A2ED90A5-D460-4E3B-B050-799C0837FEA7}"/>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6355246" y="5992054"/>
          <a:ext cx="946787" cy="718929"/>
        </a:xfrm>
        <a:prstGeom prst="rect">
          <a:avLst/>
        </a:prstGeom>
      </xdr:spPr>
    </xdr:pic>
    <xdr:clientData/>
  </xdr:twoCellAnchor>
  <xdr:twoCellAnchor editAs="oneCell">
    <xdr:from>
      <xdr:col>1</xdr:col>
      <xdr:colOff>57978</xdr:colOff>
      <xdr:row>63</xdr:row>
      <xdr:rowOff>16566</xdr:rowOff>
    </xdr:from>
    <xdr:to>
      <xdr:col>9</xdr:col>
      <xdr:colOff>81648</xdr:colOff>
      <xdr:row>70</xdr:row>
      <xdr:rowOff>8283</xdr:rowOff>
    </xdr:to>
    <xdr:pic>
      <xdr:nvPicPr>
        <xdr:cNvPr id="31" name="Рисунок 30">
          <a:extLst>
            <a:ext uri="{FF2B5EF4-FFF2-40B4-BE49-F238E27FC236}">
              <a16:creationId xmlns:a16="http://schemas.microsoft.com/office/drawing/2014/main" id="{7B5E0270-07DB-46B9-8059-03E63AEBA245}"/>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77028" y="7455591"/>
          <a:ext cx="938070" cy="791818"/>
        </a:xfrm>
        <a:prstGeom prst="rect">
          <a:avLst/>
        </a:prstGeom>
      </xdr:spPr>
    </xdr:pic>
    <xdr:clientData/>
  </xdr:twoCellAnchor>
  <xdr:twoCellAnchor editAs="oneCell">
    <xdr:from>
      <xdr:col>11</xdr:col>
      <xdr:colOff>24848</xdr:colOff>
      <xdr:row>63</xdr:row>
      <xdr:rowOff>24849</xdr:rowOff>
    </xdr:from>
    <xdr:to>
      <xdr:col>19</xdr:col>
      <xdr:colOff>88423</xdr:colOff>
      <xdr:row>69</xdr:row>
      <xdr:rowOff>8284</xdr:rowOff>
    </xdr:to>
    <xdr:pic>
      <xdr:nvPicPr>
        <xdr:cNvPr id="32" name="Рисунок 31">
          <a:extLst>
            <a:ext uri="{FF2B5EF4-FFF2-40B4-BE49-F238E27FC236}">
              <a16:creationId xmlns:a16="http://schemas.microsoft.com/office/drawing/2014/main" id="{D49716A1-0867-4BF5-B445-644852F78FDC}"/>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091648" y="7463874"/>
          <a:ext cx="977975" cy="669235"/>
        </a:xfrm>
        <a:prstGeom prst="rect">
          <a:avLst/>
        </a:prstGeom>
      </xdr:spPr>
    </xdr:pic>
    <xdr:clientData/>
  </xdr:twoCellAnchor>
  <xdr:twoCellAnchor editAs="oneCell">
    <xdr:from>
      <xdr:col>21</xdr:col>
      <xdr:colOff>49695</xdr:colOff>
      <xdr:row>63</xdr:row>
      <xdr:rowOff>16565</xdr:rowOff>
    </xdr:from>
    <xdr:to>
      <xdr:col>29</xdr:col>
      <xdr:colOff>78685</xdr:colOff>
      <xdr:row>70</xdr:row>
      <xdr:rowOff>24848</xdr:rowOff>
    </xdr:to>
    <xdr:pic>
      <xdr:nvPicPr>
        <xdr:cNvPr id="33" name="Рисунок 32">
          <a:extLst>
            <a:ext uri="{FF2B5EF4-FFF2-40B4-BE49-F238E27FC236}">
              <a16:creationId xmlns:a16="http://schemas.microsoft.com/office/drawing/2014/main" id="{14F08B6C-812A-4410-A20A-A2168CDF6B93}"/>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2164245" y="7455590"/>
          <a:ext cx="943390" cy="808384"/>
        </a:xfrm>
        <a:prstGeom prst="rect">
          <a:avLst/>
        </a:prstGeom>
      </xdr:spPr>
    </xdr:pic>
    <xdr:clientData/>
  </xdr:twoCellAnchor>
  <xdr:twoCellAnchor editAs="oneCell">
    <xdr:from>
      <xdr:col>35</xdr:col>
      <xdr:colOff>49696</xdr:colOff>
      <xdr:row>66</xdr:row>
      <xdr:rowOff>24849</xdr:rowOff>
    </xdr:from>
    <xdr:to>
      <xdr:col>39</xdr:col>
      <xdr:colOff>27919</xdr:colOff>
      <xdr:row>70</xdr:row>
      <xdr:rowOff>24848</xdr:rowOff>
    </xdr:to>
    <xdr:pic>
      <xdr:nvPicPr>
        <xdr:cNvPr id="34" name="Рисунок 33">
          <a:extLst>
            <a:ext uri="{FF2B5EF4-FFF2-40B4-BE49-F238E27FC236}">
              <a16:creationId xmlns:a16="http://schemas.microsoft.com/office/drawing/2014/main" id="{15341656-5D90-481C-8402-D153EC3BC12B}"/>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3669196" y="7806774"/>
          <a:ext cx="435423" cy="457199"/>
        </a:xfrm>
        <a:prstGeom prst="rect">
          <a:avLst/>
        </a:prstGeom>
      </xdr:spPr>
    </xdr:pic>
    <xdr:clientData/>
  </xdr:twoCellAnchor>
  <xdr:twoCellAnchor editAs="oneCell">
    <xdr:from>
      <xdr:col>31</xdr:col>
      <xdr:colOff>49697</xdr:colOff>
      <xdr:row>62</xdr:row>
      <xdr:rowOff>8283</xdr:rowOff>
    </xdr:from>
    <xdr:to>
      <xdr:col>37</xdr:col>
      <xdr:colOff>33132</xdr:colOff>
      <xdr:row>66</xdr:row>
      <xdr:rowOff>46582</xdr:rowOff>
    </xdr:to>
    <xdr:pic>
      <xdr:nvPicPr>
        <xdr:cNvPr id="35" name="Рисунок 34">
          <a:extLst>
            <a:ext uri="{FF2B5EF4-FFF2-40B4-BE49-F238E27FC236}">
              <a16:creationId xmlns:a16="http://schemas.microsoft.com/office/drawing/2014/main" id="{AA806D10-DDBE-470A-BFEA-C6DCB6D6B1CC}"/>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3211997" y="7333008"/>
          <a:ext cx="669235" cy="495499"/>
        </a:xfrm>
        <a:prstGeom prst="rect">
          <a:avLst/>
        </a:prstGeom>
      </xdr:spPr>
    </xdr:pic>
    <xdr:clientData/>
  </xdr:twoCellAnchor>
  <xdr:twoCellAnchor editAs="oneCell">
    <xdr:from>
      <xdr:col>41</xdr:col>
      <xdr:colOff>16566</xdr:colOff>
      <xdr:row>66</xdr:row>
      <xdr:rowOff>57978</xdr:rowOff>
    </xdr:from>
    <xdr:to>
      <xdr:col>49</xdr:col>
      <xdr:colOff>91110</xdr:colOff>
      <xdr:row>70</xdr:row>
      <xdr:rowOff>15013</xdr:rowOff>
    </xdr:to>
    <xdr:pic>
      <xdr:nvPicPr>
        <xdr:cNvPr id="36" name="Рисунок 35">
          <a:extLst>
            <a:ext uri="{FF2B5EF4-FFF2-40B4-BE49-F238E27FC236}">
              <a16:creationId xmlns:a16="http://schemas.microsoft.com/office/drawing/2014/main" id="{6BC8D9A9-35CB-40AE-955C-710A684A8C81}"/>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4226616" y="7839903"/>
          <a:ext cx="988944" cy="414235"/>
        </a:xfrm>
        <a:prstGeom prst="rect">
          <a:avLst/>
        </a:prstGeom>
      </xdr:spPr>
    </xdr:pic>
    <xdr:clientData/>
  </xdr:twoCellAnchor>
  <xdr:twoCellAnchor editAs="oneCell">
    <xdr:from>
      <xdr:col>41</xdr:col>
      <xdr:colOff>66262</xdr:colOff>
      <xdr:row>62</xdr:row>
      <xdr:rowOff>24848</xdr:rowOff>
    </xdr:from>
    <xdr:to>
      <xdr:col>48</xdr:col>
      <xdr:colOff>33132</xdr:colOff>
      <xdr:row>65</xdr:row>
      <xdr:rowOff>84918</xdr:rowOff>
    </xdr:to>
    <xdr:pic>
      <xdr:nvPicPr>
        <xdr:cNvPr id="37" name="Рисунок 36">
          <a:extLst>
            <a:ext uri="{FF2B5EF4-FFF2-40B4-BE49-F238E27FC236}">
              <a16:creationId xmlns:a16="http://schemas.microsoft.com/office/drawing/2014/main" id="{52D3D073-A50A-4C20-BF2E-AB9D9A750AE9}"/>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4276312" y="7349573"/>
          <a:ext cx="766970" cy="402969"/>
        </a:xfrm>
        <a:prstGeom prst="rect">
          <a:avLst/>
        </a:prstGeom>
      </xdr:spPr>
    </xdr:pic>
    <xdr:clientData/>
  </xdr:twoCellAnchor>
  <xdr:twoCellAnchor editAs="oneCell">
    <xdr:from>
      <xdr:col>52</xdr:col>
      <xdr:colOff>99392</xdr:colOff>
      <xdr:row>67</xdr:row>
      <xdr:rowOff>1</xdr:rowOff>
    </xdr:from>
    <xdr:to>
      <xdr:col>58</xdr:col>
      <xdr:colOff>41413</xdr:colOff>
      <xdr:row>69</xdr:row>
      <xdr:rowOff>101954</xdr:rowOff>
    </xdr:to>
    <xdr:pic>
      <xdr:nvPicPr>
        <xdr:cNvPr id="38" name="Рисунок 37">
          <a:extLst>
            <a:ext uri="{FF2B5EF4-FFF2-40B4-BE49-F238E27FC236}">
              <a16:creationId xmlns:a16="http://schemas.microsoft.com/office/drawing/2014/main" id="{2213E7F7-E5FE-4C44-9346-0157A6D29515}"/>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5471492" y="7896226"/>
          <a:ext cx="627821" cy="330553"/>
        </a:xfrm>
        <a:prstGeom prst="rect">
          <a:avLst/>
        </a:prstGeom>
      </xdr:spPr>
    </xdr:pic>
    <xdr:clientData/>
  </xdr:twoCellAnchor>
  <xdr:twoCellAnchor editAs="oneCell">
    <xdr:from>
      <xdr:col>51</xdr:col>
      <xdr:colOff>66261</xdr:colOff>
      <xdr:row>62</xdr:row>
      <xdr:rowOff>57978</xdr:rowOff>
    </xdr:from>
    <xdr:to>
      <xdr:col>59</xdr:col>
      <xdr:colOff>57979</xdr:colOff>
      <xdr:row>65</xdr:row>
      <xdr:rowOff>107514</xdr:rowOff>
    </xdr:to>
    <xdr:pic>
      <xdr:nvPicPr>
        <xdr:cNvPr id="39" name="Рисунок 38">
          <a:extLst>
            <a:ext uri="{FF2B5EF4-FFF2-40B4-BE49-F238E27FC236}">
              <a16:creationId xmlns:a16="http://schemas.microsoft.com/office/drawing/2014/main" id="{17FBDF87-D1B7-4050-AAEE-759443041598}"/>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324061" y="7382703"/>
          <a:ext cx="906118" cy="392435"/>
        </a:xfrm>
        <a:prstGeom prst="rect">
          <a:avLst/>
        </a:prstGeom>
      </xdr:spPr>
    </xdr:pic>
    <xdr:clientData/>
  </xdr:twoCellAnchor>
  <xdr:twoCellAnchor editAs="oneCell">
    <xdr:from>
      <xdr:col>62</xdr:col>
      <xdr:colOff>24848</xdr:colOff>
      <xdr:row>61</xdr:row>
      <xdr:rowOff>49695</xdr:rowOff>
    </xdr:from>
    <xdr:to>
      <xdr:col>68</xdr:col>
      <xdr:colOff>8283</xdr:colOff>
      <xdr:row>65</xdr:row>
      <xdr:rowOff>74600</xdr:rowOff>
    </xdr:to>
    <xdr:pic>
      <xdr:nvPicPr>
        <xdr:cNvPr id="40" name="Рисунок 39">
          <a:extLst>
            <a:ext uri="{FF2B5EF4-FFF2-40B4-BE49-F238E27FC236}">
              <a16:creationId xmlns:a16="http://schemas.microsoft.com/office/drawing/2014/main" id="{FF0F7D36-2F15-4A85-AE8B-CD8A7D11DC14}"/>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6444698" y="7260120"/>
          <a:ext cx="669235" cy="482105"/>
        </a:xfrm>
        <a:prstGeom prst="rect">
          <a:avLst/>
        </a:prstGeom>
      </xdr:spPr>
    </xdr:pic>
    <xdr:clientData/>
  </xdr:twoCellAnchor>
  <xdr:twoCellAnchor editAs="oneCell">
    <xdr:from>
      <xdr:col>63</xdr:col>
      <xdr:colOff>66261</xdr:colOff>
      <xdr:row>65</xdr:row>
      <xdr:rowOff>66261</xdr:rowOff>
    </xdr:from>
    <xdr:to>
      <xdr:col>68</xdr:col>
      <xdr:colOff>33131</xdr:colOff>
      <xdr:row>69</xdr:row>
      <xdr:rowOff>71913</xdr:rowOff>
    </xdr:to>
    <xdr:pic>
      <xdr:nvPicPr>
        <xdr:cNvPr id="41" name="Рисунок 40">
          <a:extLst>
            <a:ext uri="{FF2B5EF4-FFF2-40B4-BE49-F238E27FC236}">
              <a16:creationId xmlns:a16="http://schemas.microsoft.com/office/drawing/2014/main" id="{B96F4F6C-4652-4A8B-ACB0-060608E27189}"/>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6600411" y="7733886"/>
          <a:ext cx="538370" cy="462852"/>
        </a:xfrm>
        <a:prstGeom prst="rect">
          <a:avLst/>
        </a:prstGeom>
      </xdr:spPr>
    </xdr:pic>
    <xdr:clientData/>
  </xdr:twoCellAnchor>
  <xdr:twoCellAnchor editAs="oneCell">
    <xdr:from>
      <xdr:col>2</xdr:col>
      <xdr:colOff>82826</xdr:colOff>
      <xdr:row>75</xdr:row>
      <xdr:rowOff>107674</xdr:rowOff>
    </xdr:from>
    <xdr:to>
      <xdr:col>8</xdr:col>
      <xdr:colOff>33705</xdr:colOff>
      <xdr:row>87</xdr:row>
      <xdr:rowOff>91107</xdr:rowOff>
    </xdr:to>
    <xdr:pic>
      <xdr:nvPicPr>
        <xdr:cNvPr id="42" name="Рисунок 41">
          <a:extLst>
            <a:ext uri="{FF2B5EF4-FFF2-40B4-BE49-F238E27FC236}">
              <a16:creationId xmlns:a16="http://schemas.microsoft.com/office/drawing/2014/main" id="{250A6245-3182-4233-B25D-AE7B1E2DF28F}"/>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flipH="1">
          <a:off x="216176" y="8813524"/>
          <a:ext cx="636679" cy="1355034"/>
        </a:xfrm>
        <a:prstGeom prst="rect">
          <a:avLst/>
        </a:prstGeom>
      </xdr:spPr>
    </xdr:pic>
    <xdr:clientData/>
  </xdr:twoCellAnchor>
  <xdr:twoCellAnchor editAs="oneCell">
    <xdr:from>
      <xdr:col>13</xdr:col>
      <xdr:colOff>57978</xdr:colOff>
      <xdr:row>75</xdr:row>
      <xdr:rowOff>91110</xdr:rowOff>
    </xdr:from>
    <xdr:to>
      <xdr:col>17</xdr:col>
      <xdr:colOff>82826</xdr:colOff>
      <xdr:row>88</xdr:row>
      <xdr:rowOff>54181</xdr:rowOff>
    </xdr:to>
    <xdr:pic>
      <xdr:nvPicPr>
        <xdr:cNvPr id="43" name="Рисунок 42">
          <a:extLst>
            <a:ext uri="{FF2B5EF4-FFF2-40B4-BE49-F238E27FC236}">
              <a16:creationId xmlns:a16="http://schemas.microsoft.com/office/drawing/2014/main" id="{A640A48A-F6DB-4820-BEAE-DE2B52DAD3CA}"/>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flipH="1">
          <a:off x="1353378" y="8796960"/>
          <a:ext cx="482048" cy="1448971"/>
        </a:xfrm>
        <a:prstGeom prst="rect">
          <a:avLst/>
        </a:prstGeom>
      </xdr:spPr>
    </xdr:pic>
    <xdr:clientData/>
  </xdr:twoCellAnchor>
  <xdr:twoCellAnchor editAs="oneCell">
    <xdr:from>
      <xdr:col>22</xdr:col>
      <xdr:colOff>107674</xdr:colOff>
      <xdr:row>76</xdr:row>
      <xdr:rowOff>16566</xdr:rowOff>
    </xdr:from>
    <xdr:to>
      <xdr:col>28</xdr:col>
      <xdr:colOff>66261</xdr:colOff>
      <xdr:row>88</xdr:row>
      <xdr:rowOff>38815</xdr:rowOff>
    </xdr:to>
    <xdr:pic>
      <xdr:nvPicPr>
        <xdr:cNvPr id="44" name="Рисунок 43">
          <a:extLst>
            <a:ext uri="{FF2B5EF4-FFF2-40B4-BE49-F238E27FC236}">
              <a16:creationId xmlns:a16="http://schemas.microsoft.com/office/drawing/2014/main" id="{C70CB88C-72B1-48D4-A604-A3A8C0698AD5}"/>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336524" y="8836716"/>
          <a:ext cx="644387" cy="1393849"/>
        </a:xfrm>
        <a:prstGeom prst="rect">
          <a:avLst/>
        </a:prstGeom>
      </xdr:spPr>
    </xdr:pic>
    <xdr:clientData/>
  </xdr:twoCellAnchor>
  <xdr:twoCellAnchor editAs="oneCell">
    <xdr:from>
      <xdr:col>32</xdr:col>
      <xdr:colOff>99392</xdr:colOff>
      <xdr:row>76</xdr:row>
      <xdr:rowOff>24848</xdr:rowOff>
    </xdr:from>
    <xdr:to>
      <xdr:col>39</xdr:col>
      <xdr:colOff>33239</xdr:colOff>
      <xdr:row>88</xdr:row>
      <xdr:rowOff>82826</xdr:rowOff>
    </xdr:to>
    <xdr:pic>
      <xdr:nvPicPr>
        <xdr:cNvPr id="45" name="Рисунок 44">
          <a:extLst>
            <a:ext uri="{FF2B5EF4-FFF2-40B4-BE49-F238E27FC236}">
              <a16:creationId xmlns:a16="http://schemas.microsoft.com/office/drawing/2014/main" id="{123013B2-E691-4BAE-BCD3-660F0F59451F}"/>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3375992" y="8844998"/>
          <a:ext cx="733947" cy="1429578"/>
        </a:xfrm>
        <a:prstGeom prst="rect">
          <a:avLst/>
        </a:prstGeom>
      </xdr:spPr>
    </xdr:pic>
    <xdr:clientData/>
  </xdr:twoCellAnchor>
  <xdr:twoCellAnchor editAs="oneCell">
    <xdr:from>
      <xdr:col>42</xdr:col>
      <xdr:colOff>99392</xdr:colOff>
      <xdr:row>75</xdr:row>
      <xdr:rowOff>107673</xdr:rowOff>
    </xdr:from>
    <xdr:to>
      <xdr:col>48</xdr:col>
      <xdr:colOff>99391</xdr:colOff>
      <xdr:row>88</xdr:row>
      <xdr:rowOff>75205</xdr:rowOff>
    </xdr:to>
    <xdr:pic>
      <xdr:nvPicPr>
        <xdr:cNvPr id="46" name="Рисунок 45">
          <a:extLst>
            <a:ext uri="{FF2B5EF4-FFF2-40B4-BE49-F238E27FC236}">
              <a16:creationId xmlns:a16="http://schemas.microsoft.com/office/drawing/2014/main" id="{8B210896-5FD6-42E6-B88D-1321B55334EC}"/>
            </a:ext>
          </a:extLst>
        </xdr:cNvPr>
        <xdr:cNvPicPr>
          <a:picLocks noChangeAspect="1"/>
        </xdr:cNvPicPr>
      </xdr:nvPicPr>
      <xdr:blipFill rotWithShape="1">
        <a:blip xmlns:r="http://schemas.openxmlformats.org/officeDocument/2006/relationships" r:embed="rId4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4423742" y="8813523"/>
          <a:ext cx="685799" cy="1453432"/>
        </a:xfrm>
        <a:prstGeom prst="rect">
          <a:avLst/>
        </a:prstGeom>
      </xdr:spPr>
    </xdr:pic>
    <xdr:clientData/>
  </xdr:twoCellAnchor>
  <xdr:twoCellAnchor editAs="oneCell">
    <xdr:from>
      <xdr:col>52</xdr:col>
      <xdr:colOff>33131</xdr:colOff>
      <xdr:row>76</xdr:row>
      <xdr:rowOff>82826</xdr:rowOff>
    </xdr:from>
    <xdr:to>
      <xdr:col>58</xdr:col>
      <xdr:colOff>109606</xdr:colOff>
      <xdr:row>88</xdr:row>
      <xdr:rowOff>16566</xdr:rowOff>
    </xdr:to>
    <xdr:pic>
      <xdr:nvPicPr>
        <xdr:cNvPr id="47" name="Рисунок 46">
          <a:extLst>
            <a:ext uri="{FF2B5EF4-FFF2-40B4-BE49-F238E27FC236}">
              <a16:creationId xmlns:a16="http://schemas.microsoft.com/office/drawing/2014/main" id="{18DE7F41-8C98-49E4-8128-90E89B3D50D3}"/>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405231" y="8902976"/>
          <a:ext cx="762275" cy="1305340"/>
        </a:xfrm>
        <a:prstGeom prst="rect">
          <a:avLst/>
        </a:prstGeom>
      </xdr:spPr>
    </xdr:pic>
    <xdr:clientData/>
  </xdr:twoCellAnchor>
  <xdr:twoCellAnchor editAs="oneCell">
    <xdr:from>
      <xdr:col>62</xdr:col>
      <xdr:colOff>57980</xdr:colOff>
      <xdr:row>77</xdr:row>
      <xdr:rowOff>8284</xdr:rowOff>
    </xdr:from>
    <xdr:to>
      <xdr:col>68</xdr:col>
      <xdr:colOff>57979</xdr:colOff>
      <xdr:row>88</xdr:row>
      <xdr:rowOff>76105</xdr:rowOff>
    </xdr:to>
    <xdr:pic>
      <xdr:nvPicPr>
        <xdr:cNvPr id="48" name="Рисунок 47">
          <a:extLst>
            <a:ext uri="{FF2B5EF4-FFF2-40B4-BE49-F238E27FC236}">
              <a16:creationId xmlns:a16="http://schemas.microsoft.com/office/drawing/2014/main" id="{30AA608F-B588-4FAB-8F0C-6993CCD192A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6477830" y="8942734"/>
          <a:ext cx="685799" cy="1325121"/>
        </a:xfrm>
        <a:prstGeom prst="rect">
          <a:avLst/>
        </a:prstGeom>
      </xdr:spPr>
    </xdr:pic>
    <xdr:clientData/>
  </xdr:twoCellAnchor>
  <xdr:twoCellAnchor editAs="oneCell">
    <xdr:from>
      <xdr:col>68</xdr:col>
      <xdr:colOff>78494</xdr:colOff>
      <xdr:row>0</xdr:row>
      <xdr:rowOff>643799</xdr:rowOff>
    </xdr:from>
    <xdr:to>
      <xdr:col>74</xdr:col>
      <xdr:colOff>5362</xdr:colOff>
      <xdr:row>1</xdr:row>
      <xdr:rowOff>41190</xdr:rowOff>
    </xdr:to>
    <xdr:pic>
      <xdr:nvPicPr>
        <xdr:cNvPr id="50" name="Рисунок 49">
          <a:extLst>
            <a:ext uri="{FF2B5EF4-FFF2-40B4-BE49-F238E27FC236}">
              <a16:creationId xmlns:a16="http://schemas.microsoft.com/office/drawing/2014/main" id="{9A1C3E1C-FDB5-47B4-B91E-4CBA8A62E65F}"/>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rot="20918134">
          <a:off x="7267798" y="643799"/>
          <a:ext cx="554276" cy="548674"/>
        </a:xfrm>
        <a:prstGeom prst="rect">
          <a:avLst/>
        </a:prstGeom>
      </xdr:spPr>
    </xdr:pic>
    <xdr:clientData/>
  </xdr:twoCellAnchor>
  <xdr:twoCellAnchor editAs="oneCell">
    <xdr:from>
      <xdr:col>14</xdr:col>
      <xdr:colOff>85725</xdr:colOff>
      <xdr:row>0</xdr:row>
      <xdr:rowOff>142875</xdr:rowOff>
    </xdr:from>
    <xdr:to>
      <xdr:col>48</xdr:col>
      <xdr:colOff>104775</xdr:colOff>
      <xdr:row>0</xdr:row>
      <xdr:rowOff>1009650</xdr:rowOff>
    </xdr:to>
    <xdr:pic>
      <xdr:nvPicPr>
        <xdr:cNvPr id="2" name="Рисунок 1">
          <a:extLst>
            <a:ext uri="{FF2B5EF4-FFF2-40B4-BE49-F238E27FC236}">
              <a16:creationId xmlns:a16="http://schemas.microsoft.com/office/drawing/2014/main" id="{8F531E8F-BE70-4D2E-8C77-09E1F089CBC3}"/>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1590675" y="142875"/>
          <a:ext cx="3848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urnizab.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B4E1-56CF-445E-837F-723E786BE847}">
  <sheetPr>
    <tabColor theme="9" tint="0.59999389629810485"/>
  </sheetPr>
  <dimension ref="A1:D19"/>
  <sheetViews>
    <sheetView tabSelected="1" zoomScaleNormal="100" workbookViewId="0">
      <selection activeCell="G16" sqref="G16"/>
    </sheetView>
  </sheetViews>
  <sheetFormatPr defaultColWidth="9.140625" defaultRowHeight="12.75" x14ac:dyDescent="0.2"/>
  <cols>
    <col min="1" max="1" width="4.5703125" style="280" customWidth="1"/>
    <col min="2" max="2" width="28.85546875" style="280" customWidth="1"/>
    <col min="3" max="3" width="55.42578125" style="280" customWidth="1"/>
    <col min="4" max="16384" width="9.140625" style="280"/>
  </cols>
  <sheetData>
    <row r="1" spans="1:4" s="275" customFormat="1" ht="15" customHeight="1" x14ac:dyDescent="0.25">
      <c r="A1" s="273"/>
      <c r="B1" s="274"/>
      <c r="C1" s="299" t="s">
        <v>1</v>
      </c>
      <c r="D1" s="300"/>
    </row>
    <row r="2" spans="1:4" s="275" customFormat="1" ht="15" customHeight="1" x14ac:dyDescent="0.25">
      <c r="A2" s="276"/>
      <c r="B2" s="274"/>
      <c r="C2" s="301" t="s">
        <v>2</v>
      </c>
      <c r="D2" s="302"/>
    </row>
    <row r="3" spans="1:4" s="275" customFormat="1" ht="15" customHeight="1" x14ac:dyDescent="0.25">
      <c r="A3" s="276"/>
      <c r="B3" s="274"/>
      <c r="C3" s="299" t="s">
        <v>3</v>
      </c>
      <c r="D3" s="300"/>
    </row>
    <row r="4" spans="1:4" s="279" customFormat="1" ht="30" customHeight="1" x14ac:dyDescent="0.25">
      <c r="A4" s="277"/>
      <c r="B4" s="278"/>
      <c r="C4" s="303" t="s">
        <v>727</v>
      </c>
      <c r="D4" s="304"/>
    </row>
    <row r="5" spans="1:4" ht="18" customHeight="1" x14ac:dyDescent="0.2">
      <c r="A5" s="305" t="s">
        <v>278</v>
      </c>
      <c r="B5" s="306"/>
      <c r="C5" s="306"/>
      <c r="D5" s="307"/>
    </row>
    <row r="6" spans="1:4" ht="16.5" customHeight="1" x14ac:dyDescent="0.2">
      <c r="A6" s="281"/>
      <c r="B6" s="190"/>
      <c r="C6" s="268" t="s">
        <v>279</v>
      </c>
      <c r="D6" s="282"/>
    </row>
    <row r="7" spans="1:4" ht="16.5" customHeight="1" x14ac:dyDescent="0.2">
      <c r="A7" s="281"/>
      <c r="B7" s="191"/>
      <c r="C7" s="268" t="s">
        <v>718</v>
      </c>
      <c r="D7" s="282"/>
    </row>
    <row r="8" spans="1:4" ht="16.5" customHeight="1" x14ac:dyDescent="0.2">
      <c r="A8" s="281"/>
      <c r="B8" s="191"/>
      <c r="C8" s="268" t="s">
        <v>719</v>
      </c>
      <c r="D8" s="282"/>
    </row>
    <row r="9" spans="1:4" ht="16.5" customHeight="1" x14ac:dyDescent="0.2">
      <c r="A9" s="281"/>
      <c r="B9" s="191"/>
      <c r="C9" s="290" t="s">
        <v>764</v>
      </c>
      <c r="D9" s="282"/>
    </row>
    <row r="10" spans="1:4" ht="15" x14ac:dyDescent="0.2">
      <c r="A10" s="283"/>
      <c r="B10" s="189"/>
      <c r="C10" s="268" t="s">
        <v>758</v>
      </c>
      <c r="D10" s="284"/>
    </row>
    <row r="11" spans="1:4" ht="15" x14ac:dyDescent="0.2">
      <c r="A11" s="283"/>
      <c r="B11" s="189"/>
      <c r="C11" s="268" t="s">
        <v>759</v>
      </c>
      <c r="D11" s="284"/>
    </row>
    <row r="12" spans="1:4" ht="15" x14ac:dyDescent="0.2">
      <c r="A12" s="283"/>
      <c r="B12" s="189"/>
      <c r="C12" s="268" t="s">
        <v>760</v>
      </c>
      <c r="D12" s="284"/>
    </row>
    <row r="13" spans="1:4" ht="15" x14ac:dyDescent="0.2">
      <c r="A13" s="283"/>
      <c r="B13" s="285"/>
      <c r="C13" s="268" t="s">
        <v>761</v>
      </c>
      <c r="D13" s="284"/>
    </row>
    <row r="14" spans="1:4" ht="15" x14ac:dyDescent="0.2">
      <c r="A14" s="286"/>
      <c r="B14" s="287"/>
      <c r="C14" s="269" t="s">
        <v>762</v>
      </c>
      <c r="D14" s="288"/>
    </row>
    <row r="15" spans="1:4" ht="15" x14ac:dyDescent="0.2">
      <c r="A15" s="286"/>
      <c r="B15" s="287"/>
      <c r="C15" s="269" t="s">
        <v>763</v>
      </c>
      <c r="D15" s="288"/>
    </row>
    <row r="16" spans="1:4" ht="70.5" customHeight="1" x14ac:dyDescent="0.2">
      <c r="A16" s="286"/>
      <c r="B16" s="287"/>
      <c r="C16" s="292"/>
      <c r="D16" s="288"/>
    </row>
    <row r="17" spans="1:4" ht="18" customHeight="1" x14ac:dyDescent="0.2">
      <c r="A17" s="296" t="s">
        <v>4</v>
      </c>
      <c r="B17" s="297"/>
      <c r="C17" s="297"/>
      <c r="D17" s="298"/>
    </row>
    <row r="18" spans="1:4" ht="30" customHeight="1" x14ac:dyDescent="0.2">
      <c r="A18" s="293" t="s">
        <v>726</v>
      </c>
      <c r="B18" s="294"/>
      <c r="C18" s="294"/>
      <c r="D18" s="295"/>
    </row>
    <row r="19" spans="1:4" ht="30" customHeight="1" x14ac:dyDescent="0.2"/>
  </sheetData>
  <mergeCells count="7">
    <mergeCell ref="A18:D18"/>
    <mergeCell ref="A17:D17"/>
    <mergeCell ref="C1:D1"/>
    <mergeCell ref="C2:D2"/>
    <mergeCell ref="C3:D3"/>
    <mergeCell ref="C4:D4"/>
    <mergeCell ref="A5:D5"/>
  </mergeCells>
  <hyperlinks>
    <hyperlink ref="C2" r:id="rId1" xr:uid="{D7B61F4B-136F-4DDF-8ECD-2FBB222589DC}"/>
    <hyperlink ref="C6" location="'Школьная мебель'!R1C1" display="1. Ученическая мебель &quot;Бюджет&quot;" xr:uid="{8571D22D-DD55-4490-959E-63C9786C9964}"/>
    <hyperlink ref="C7" location="'Серия &quot;Бюджет&quot;'!R1C1" display="2. Серия &quot;Бюджет&quot;" xr:uid="{00A09CDE-6750-41B0-834D-7749FFFAC115}"/>
    <hyperlink ref="C10" location="Шкафы!R1C1" display="3.Шкафы" xr:uid="{CF95AD7B-462E-48EA-8860-4469510A9829}"/>
    <hyperlink ref="C12" location="'Столы письменные'!R1C1" display="4. Столы письменные" xr:uid="{D493583C-D6E8-4DDB-B6A1-366A20019A09}"/>
    <hyperlink ref="C13" location="Тумбы!R1C1" display="5. Тумбы" xr:uid="{01FCFC8D-F91E-4810-A089-9B0D9BEA75B1}"/>
    <hyperlink ref="C14" location="Библиотека!R1C1" display="6. Библиотечная мебель" xr:uid="{418790C4-C242-4993-872A-E96B56E61FC0}"/>
    <hyperlink ref="C15" location="'Доски школьные'!R1C1" display="7. Доски школьные" xr:uid="{CD574067-FD51-49AE-80E2-7BC7D1443A5B}"/>
    <hyperlink ref="C8" location="'Серия &quot;Эталон&quot;'!R1C1" display="3. Серия &quot;Эталон&quot;" xr:uid="{CAB81FFE-F835-4DD7-9FD6-1BA9A974FA5D}"/>
    <hyperlink ref="C11" location="'Модульные системы хранения'!R1C1" display="3. Модульные системы хранения" xr:uid="{1EEDEEE4-3748-45C5-B51B-94DF3A8969EA}"/>
    <hyperlink ref="C9" location="'Серия &quot;Оптима&quot;'!R1C1" display="4. Серия &quot;Оптима&quot;" xr:uid="{B24B16A0-80DD-4D96-85DE-02684CB2A14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3025A-CDDA-4CB2-A530-9F5EBC18FBB9}">
  <sheetPr>
    <tabColor theme="5" tint="0.59999389629810485"/>
    <pageSetUpPr fitToPage="1"/>
  </sheetPr>
  <dimension ref="A1:CB103"/>
  <sheetViews>
    <sheetView showGridLines="0" zoomScaleNormal="100" zoomScaleSheetLayoutView="115" workbookViewId="0">
      <selection activeCell="BJ1" sqref="BJ1:BS1"/>
    </sheetView>
  </sheetViews>
  <sheetFormatPr defaultRowHeight="8.25" x14ac:dyDescent="0.25"/>
  <cols>
    <col min="1" max="1" width="0.28515625" style="193" customWidth="1"/>
    <col min="2" max="3" width="1.7109375" style="193" customWidth="1"/>
    <col min="4" max="4" width="2" style="193" customWidth="1"/>
    <col min="5" max="5" width="1.7109375" style="193" customWidth="1"/>
    <col min="6" max="6" width="2.42578125" style="193" customWidth="1"/>
    <col min="7" max="10" width="1.7109375" style="193" customWidth="1"/>
    <col min="11" max="11" width="0.28515625" style="193" customWidth="1"/>
    <col min="12" max="13" width="1.7109375" style="193" customWidth="1"/>
    <col min="14" max="14" width="2" style="193" customWidth="1"/>
    <col min="15" max="15" width="1.7109375" style="193" customWidth="1"/>
    <col min="16" max="16" width="2.5703125" style="193" customWidth="1"/>
    <col min="17" max="20" width="1.7109375" style="193" customWidth="1"/>
    <col min="21" max="21" width="0.28515625" style="193" customWidth="1"/>
    <col min="22" max="23" width="1.7109375" style="193" customWidth="1"/>
    <col min="24" max="24" width="2.140625" style="193" customWidth="1"/>
    <col min="25" max="25" width="1.7109375" style="193" customWidth="1"/>
    <col min="26" max="26" width="3" style="193" customWidth="1"/>
    <col min="27" max="27" width="1.85546875" style="193" customWidth="1"/>
    <col min="28" max="30" width="1.7109375" style="193" customWidth="1"/>
    <col min="31" max="31" width="0.28515625" style="193" customWidth="1"/>
    <col min="32" max="33" width="1.7109375" style="193" customWidth="1"/>
    <col min="34" max="34" width="2" style="193" customWidth="1"/>
    <col min="35" max="35" width="1.7109375" style="193" customWidth="1"/>
    <col min="36" max="36" width="2.140625" style="193" customWidth="1"/>
    <col min="37" max="40" width="1.7109375" style="193" customWidth="1"/>
    <col min="41" max="41" width="0.28515625" style="193" customWidth="1"/>
    <col min="42" max="43" width="1.7109375" style="193" customWidth="1"/>
    <col min="44" max="44" width="2.140625" style="193" customWidth="1"/>
    <col min="45" max="45" width="1.7109375" style="193" customWidth="1"/>
    <col min="46" max="46" width="2.28515625" style="193" customWidth="1"/>
    <col min="47" max="50" width="1.7109375" style="193" customWidth="1"/>
    <col min="51" max="51" width="0.28515625" style="193" customWidth="1"/>
    <col min="52" max="53" width="1.7109375" style="193" customWidth="1"/>
    <col min="54" max="54" width="2.140625" style="193" customWidth="1"/>
    <col min="55" max="55" width="1.7109375" style="193" customWidth="1"/>
    <col min="56" max="56" width="2.28515625" style="193" customWidth="1"/>
    <col min="57" max="60" width="1.7109375" style="193" customWidth="1"/>
    <col min="61" max="61" width="0.28515625" style="193" customWidth="1"/>
    <col min="62" max="63" width="1.7109375" style="193" customWidth="1"/>
    <col min="64" max="64" width="2.28515625" style="193" customWidth="1"/>
    <col min="65" max="65" width="1.7109375" style="193" customWidth="1"/>
    <col min="66" max="66" width="2.140625" style="193" customWidth="1"/>
    <col min="67" max="70" width="1.7109375" style="193" customWidth="1"/>
    <col min="71" max="71" width="0.28515625" style="193" customWidth="1"/>
    <col min="72" max="80" width="1.7109375" style="193" customWidth="1"/>
    <col min="81" max="256" width="9.140625" style="193"/>
    <col min="257" max="257" width="0.28515625" style="193" customWidth="1"/>
    <col min="258" max="266" width="1.7109375" style="193" customWidth="1"/>
    <col min="267" max="267" width="0.28515625" style="193" customWidth="1"/>
    <col min="268" max="276" width="1.7109375" style="193" customWidth="1"/>
    <col min="277" max="277" width="0.28515625" style="193" customWidth="1"/>
    <col min="278" max="286" width="1.7109375" style="193" customWidth="1"/>
    <col min="287" max="287" width="0.28515625" style="193" customWidth="1"/>
    <col min="288" max="296" width="1.7109375" style="193" customWidth="1"/>
    <col min="297" max="297" width="0.28515625" style="193" customWidth="1"/>
    <col min="298" max="306" width="1.7109375" style="193" customWidth="1"/>
    <col min="307" max="307" width="0.28515625" style="193" customWidth="1"/>
    <col min="308" max="316" width="1.7109375" style="193" customWidth="1"/>
    <col min="317" max="317" width="0.28515625" style="193" customWidth="1"/>
    <col min="318" max="326" width="1.7109375" style="193" customWidth="1"/>
    <col min="327" max="327" width="0.28515625" style="193" customWidth="1"/>
    <col min="328" max="336" width="1.7109375" style="193" customWidth="1"/>
    <col min="337" max="512" width="9.140625" style="193"/>
    <col min="513" max="513" width="0.28515625" style="193" customWidth="1"/>
    <col min="514" max="522" width="1.7109375" style="193" customWidth="1"/>
    <col min="523" max="523" width="0.28515625" style="193" customWidth="1"/>
    <col min="524" max="532" width="1.7109375" style="193" customWidth="1"/>
    <col min="533" max="533" width="0.28515625" style="193" customWidth="1"/>
    <col min="534" max="542" width="1.7109375" style="193" customWidth="1"/>
    <col min="543" max="543" width="0.28515625" style="193" customWidth="1"/>
    <col min="544" max="552" width="1.7109375" style="193" customWidth="1"/>
    <col min="553" max="553" width="0.28515625" style="193" customWidth="1"/>
    <col min="554" max="562" width="1.7109375" style="193" customWidth="1"/>
    <col min="563" max="563" width="0.28515625" style="193" customWidth="1"/>
    <col min="564" max="572" width="1.7109375" style="193" customWidth="1"/>
    <col min="573" max="573" width="0.28515625" style="193" customWidth="1"/>
    <col min="574" max="582" width="1.7109375" style="193" customWidth="1"/>
    <col min="583" max="583" width="0.28515625" style="193" customWidth="1"/>
    <col min="584" max="592" width="1.7109375" style="193" customWidth="1"/>
    <col min="593" max="768" width="9.140625" style="193"/>
    <col min="769" max="769" width="0.28515625" style="193" customWidth="1"/>
    <col min="770" max="778" width="1.7109375" style="193" customWidth="1"/>
    <col min="779" max="779" width="0.28515625" style="193" customWidth="1"/>
    <col min="780" max="788" width="1.7109375" style="193" customWidth="1"/>
    <col min="789" max="789" width="0.28515625" style="193" customWidth="1"/>
    <col min="790" max="798" width="1.7109375" style="193" customWidth="1"/>
    <col min="799" max="799" width="0.28515625" style="193" customWidth="1"/>
    <col min="800" max="808" width="1.7109375" style="193" customWidth="1"/>
    <col min="809" max="809" width="0.28515625" style="193" customWidth="1"/>
    <col min="810" max="818" width="1.7109375" style="193" customWidth="1"/>
    <col min="819" max="819" width="0.28515625" style="193" customWidth="1"/>
    <col min="820" max="828" width="1.7109375" style="193" customWidth="1"/>
    <col min="829" max="829" width="0.28515625" style="193" customWidth="1"/>
    <col min="830" max="838" width="1.7109375" style="193" customWidth="1"/>
    <col min="839" max="839" width="0.28515625" style="193" customWidth="1"/>
    <col min="840" max="848" width="1.7109375" style="193" customWidth="1"/>
    <col min="849" max="1024" width="9.140625" style="193"/>
    <col min="1025" max="1025" width="0.28515625" style="193" customWidth="1"/>
    <col min="1026" max="1034" width="1.7109375" style="193" customWidth="1"/>
    <col min="1035" max="1035" width="0.28515625" style="193" customWidth="1"/>
    <col min="1036" max="1044" width="1.7109375" style="193" customWidth="1"/>
    <col min="1045" max="1045" width="0.28515625" style="193" customWidth="1"/>
    <col min="1046" max="1054" width="1.7109375" style="193" customWidth="1"/>
    <col min="1055" max="1055" width="0.28515625" style="193" customWidth="1"/>
    <col min="1056" max="1064" width="1.7109375" style="193" customWidth="1"/>
    <col min="1065" max="1065" width="0.28515625" style="193" customWidth="1"/>
    <col min="1066" max="1074" width="1.7109375" style="193" customWidth="1"/>
    <col min="1075" max="1075" width="0.28515625" style="193" customWidth="1"/>
    <col min="1076" max="1084" width="1.7109375" style="193" customWidth="1"/>
    <col min="1085" max="1085" width="0.28515625" style="193" customWidth="1"/>
    <col min="1086" max="1094" width="1.7109375" style="193" customWidth="1"/>
    <col min="1095" max="1095" width="0.28515625" style="193" customWidth="1"/>
    <col min="1096" max="1104" width="1.7109375" style="193" customWidth="1"/>
    <col min="1105" max="1280" width="9.140625" style="193"/>
    <col min="1281" max="1281" width="0.28515625" style="193" customWidth="1"/>
    <col min="1282" max="1290" width="1.7109375" style="193" customWidth="1"/>
    <col min="1291" max="1291" width="0.28515625" style="193" customWidth="1"/>
    <col min="1292" max="1300" width="1.7109375" style="193" customWidth="1"/>
    <col min="1301" max="1301" width="0.28515625" style="193" customWidth="1"/>
    <col min="1302" max="1310" width="1.7109375" style="193" customWidth="1"/>
    <col min="1311" max="1311" width="0.28515625" style="193" customWidth="1"/>
    <col min="1312" max="1320" width="1.7109375" style="193" customWidth="1"/>
    <col min="1321" max="1321" width="0.28515625" style="193" customWidth="1"/>
    <col min="1322" max="1330" width="1.7109375" style="193" customWidth="1"/>
    <col min="1331" max="1331" width="0.28515625" style="193" customWidth="1"/>
    <col min="1332" max="1340" width="1.7109375" style="193" customWidth="1"/>
    <col min="1341" max="1341" width="0.28515625" style="193" customWidth="1"/>
    <col min="1342" max="1350" width="1.7109375" style="193" customWidth="1"/>
    <col min="1351" max="1351" width="0.28515625" style="193" customWidth="1"/>
    <col min="1352" max="1360" width="1.7109375" style="193" customWidth="1"/>
    <col min="1361" max="1536" width="9.140625" style="193"/>
    <col min="1537" max="1537" width="0.28515625" style="193" customWidth="1"/>
    <col min="1538" max="1546" width="1.7109375" style="193" customWidth="1"/>
    <col min="1547" max="1547" width="0.28515625" style="193" customWidth="1"/>
    <col min="1548" max="1556" width="1.7109375" style="193" customWidth="1"/>
    <col min="1557" max="1557" width="0.28515625" style="193" customWidth="1"/>
    <col min="1558" max="1566" width="1.7109375" style="193" customWidth="1"/>
    <col min="1567" max="1567" width="0.28515625" style="193" customWidth="1"/>
    <col min="1568" max="1576" width="1.7109375" style="193" customWidth="1"/>
    <col min="1577" max="1577" width="0.28515625" style="193" customWidth="1"/>
    <col min="1578" max="1586" width="1.7109375" style="193" customWidth="1"/>
    <col min="1587" max="1587" width="0.28515625" style="193" customWidth="1"/>
    <col min="1588" max="1596" width="1.7109375" style="193" customWidth="1"/>
    <col min="1597" max="1597" width="0.28515625" style="193" customWidth="1"/>
    <col min="1598" max="1606" width="1.7109375" style="193" customWidth="1"/>
    <col min="1607" max="1607" width="0.28515625" style="193" customWidth="1"/>
    <col min="1608" max="1616" width="1.7109375" style="193" customWidth="1"/>
    <col min="1617" max="1792" width="9.140625" style="193"/>
    <col min="1793" max="1793" width="0.28515625" style="193" customWidth="1"/>
    <col min="1794" max="1802" width="1.7109375" style="193" customWidth="1"/>
    <col min="1803" max="1803" width="0.28515625" style="193" customWidth="1"/>
    <col min="1804" max="1812" width="1.7109375" style="193" customWidth="1"/>
    <col min="1813" max="1813" width="0.28515625" style="193" customWidth="1"/>
    <col min="1814" max="1822" width="1.7109375" style="193" customWidth="1"/>
    <col min="1823" max="1823" width="0.28515625" style="193" customWidth="1"/>
    <col min="1824" max="1832" width="1.7109375" style="193" customWidth="1"/>
    <col min="1833" max="1833" width="0.28515625" style="193" customWidth="1"/>
    <col min="1834" max="1842" width="1.7109375" style="193" customWidth="1"/>
    <col min="1843" max="1843" width="0.28515625" style="193" customWidth="1"/>
    <col min="1844" max="1852" width="1.7109375" style="193" customWidth="1"/>
    <col min="1853" max="1853" width="0.28515625" style="193" customWidth="1"/>
    <col min="1854" max="1862" width="1.7109375" style="193" customWidth="1"/>
    <col min="1863" max="1863" width="0.28515625" style="193" customWidth="1"/>
    <col min="1864" max="1872" width="1.7109375" style="193" customWidth="1"/>
    <col min="1873" max="2048" width="9.140625" style="193"/>
    <col min="2049" max="2049" width="0.28515625" style="193" customWidth="1"/>
    <col min="2050" max="2058" width="1.7109375" style="193" customWidth="1"/>
    <col min="2059" max="2059" width="0.28515625" style="193" customWidth="1"/>
    <col min="2060" max="2068" width="1.7109375" style="193" customWidth="1"/>
    <col min="2069" max="2069" width="0.28515625" style="193" customWidth="1"/>
    <col min="2070" max="2078" width="1.7109375" style="193" customWidth="1"/>
    <col min="2079" max="2079" width="0.28515625" style="193" customWidth="1"/>
    <col min="2080" max="2088" width="1.7109375" style="193" customWidth="1"/>
    <col min="2089" max="2089" width="0.28515625" style="193" customWidth="1"/>
    <col min="2090" max="2098" width="1.7109375" style="193" customWidth="1"/>
    <col min="2099" max="2099" width="0.28515625" style="193" customWidth="1"/>
    <col min="2100" max="2108" width="1.7109375" style="193" customWidth="1"/>
    <col min="2109" max="2109" width="0.28515625" style="193" customWidth="1"/>
    <col min="2110" max="2118" width="1.7109375" style="193" customWidth="1"/>
    <col min="2119" max="2119" width="0.28515625" style="193" customWidth="1"/>
    <col min="2120" max="2128" width="1.7109375" style="193" customWidth="1"/>
    <col min="2129" max="2304" width="9.140625" style="193"/>
    <col min="2305" max="2305" width="0.28515625" style="193" customWidth="1"/>
    <col min="2306" max="2314" width="1.7109375" style="193" customWidth="1"/>
    <col min="2315" max="2315" width="0.28515625" style="193" customWidth="1"/>
    <col min="2316" max="2324" width="1.7109375" style="193" customWidth="1"/>
    <col min="2325" max="2325" width="0.28515625" style="193" customWidth="1"/>
    <col min="2326" max="2334" width="1.7109375" style="193" customWidth="1"/>
    <col min="2335" max="2335" width="0.28515625" style="193" customWidth="1"/>
    <col min="2336" max="2344" width="1.7109375" style="193" customWidth="1"/>
    <col min="2345" max="2345" width="0.28515625" style="193" customWidth="1"/>
    <col min="2346" max="2354" width="1.7109375" style="193" customWidth="1"/>
    <col min="2355" max="2355" width="0.28515625" style="193" customWidth="1"/>
    <col min="2356" max="2364" width="1.7109375" style="193" customWidth="1"/>
    <col min="2365" max="2365" width="0.28515625" style="193" customWidth="1"/>
    <col min="2366" max="2374" width="1.7109375" style="193" customWidth="1"/>
    <col min="2375" max="2375" width="0.28515625" style="193" customWidth="1"/>
    <col min="2376" max="2384" width="1.7109375" style="193" customWidth="1"/>
    <col min="2385" max="2560" width="9.140625" style="193"/>
    <col min="2561" max="2561" width="0.28515625" style="193" customWidth="1"/>
    <col min="2562" max="2570" width="1.7109375" style="193" customWidth="1"/>
    <col min="2571" max="2571" width="0.28515625" style="193" customWidth="1"/>
    <col min="2572" max="2580" width="1.7109375" style="193" customWidth="1"/>
    <col min="2581" max="2581" width="0.28515625" style="193" customWidth="1"/>
    <col min="2582" max="2590" width="1.7109375" style="193" customWidth="1"/>
    <col min="2591" max="2591" width="0.28515625" style="193" customWidth="1"/>
    <col min="2592" max="2600" width="1.7109375" style="193" customWidth="1"/>
    <col min="2601" max="2601" width="0.28515625" style="193" customWidth="1"/>
    <col min="2602" max="2610" width="1.7109375" style="193" customWidth="1"/>
    <col min="2611" max="2611" width="0.28515625" style="193" customWidth="1"/>
    <col min="2612" max="2620" width="1.7109375" style="193" customWidth="1"/>
    <col min="2621" max="2621" width="0.28515625" style="193" customWidth="1"/>
    <col min="2622" max="2630" width="1.7109375" style="193" customWidth="1"/>
    <col min="2631" max="2631" width="0.28515625" style="193" customWidth="1"/>
    <col min="2632" max="2640" width="1.7109375" style="193" customWidth="1"/>
    <col min="2641" max="2816" width="9.140625" style="193"/>
    <col min="2817" max="2817" width="0.28515625" style="193" customWidth="1"/>
    <col min="2818" max="2826" width="1.7109375" style="193" customWidth="1"/>
    <col min="2827" max="2827" width="0.28515625" style="193" customWidth="1"/>
    <col min="2828" max="2836" width="1.7109375" style="193" customWidth="1"/>
    <col min="2837" max="2837" width="0.28515625" style="193" customWidth="1"/>
    <col min="2838" max="2846" width="1.7109375" style="193" customWidth="1"/>
    <col min="2847" max="2847" width="0.28515625" style="193" customWidth="1"/>
    <col min="2848" max="2856" width="1.7109375" style="193" customWidth="1"/>
    <col min="2857" max="2857" width="0.28515625" style="193" customWidth="1"/>
    <col min="2858" max="2866" width="1.7109375" style="193" customWidth="1"/>
    <col min="2867" max="2867" width="0.28515625" style="193" customWidth="1"/>
    <col min="2868" max="2876" width="1.7109375" style="193" customWidth="1"/>
    <col min="2877" max="2877" width="0.28515625" style="193" customWidth="1"/>
    <col min="2878" max="2886" width="1.7109375" style="193" customWidth="1"/>
    <col min="2887" max="2887" width="0.28515625" style="193" customWidth="1"/>
    <col min="2888" max="2896" width="1.7109375" style="193" customWidth="1"/>
    <col min="2897" max="3072" width="9.140625" style="193"/>
    <col min="3073" max="3073" width="0.28515625" style="193" customWidth="1"/>
    <col min="3074" max="3082" width="1.7109375" style="193" customWidth="1"/>
    <col min="3083" max="3083" width="0.28515625" style="193" customWidth="1"/>
    <col min="3084" max="3092" width="1.7109375" style="193" customWidth="1"/>
    <col min="3093" max="3093" width="0.28515625" style="193" customWidth="1"/>
    <col min="3094" max="3102" width="1.7109375" style="193" customWidth="1"/>
    <col min="3103" max="3103" width="0.28515625" style="193" customWidth="1"/>
    <col min="3104" max="3112" width="1.7109375" style="193" customWidth="1"/>
    <col min="3113" max="3113" width="0.28515625" style="193" customWidth="1"/>
    <col min="3114" max="3122" width="1.7109375" style="193" customWidth="1"/>
    <col min="3123" max="3123" width="0.28515625" style="193" customWidth="1"/>
    <col min="3124" max="3132" width="1.7109375" style="193" customWidth="1"/>
    <col min="3133" max="3133" width="0.28515625" style="193" customWidth="1"/>
    <col min="3134" max="3142" width="1.7109375" style="193" customWidth="1"/>
    <col min="3143" max="3143" width="0.28515625" style="193" customWidth="1"/>
    <col min="3144" max="3152" width="1.7109375" style="193" customWidth="1"/>
    <col min="3153" max="3328" width="9.140625" style="193"/>
    <col min="3329" max="3329" width="0.28515625" style="193" customWidth="1"/>
    <col min="3330" max="3338" width="1.7109375" style="193" customWidth="1"/>
    <col min="3339" max="3339" width="0.28515625" style="193" customWidth="1"/>
    <col min="3340" max="3348" width="1.7109375" style="193" customWidth="1"/>
    <col min="3349" max="3349" width="0.28515625" style="193" customWidth="1"/>
    <col min="3350" max="3358" width="1.7109375" style="193" customWidth="1"/>
    <col min="3359" max="3359" width="0.28515625" style="193" customWidth="1"/>
    <col min="3360" max="3368" width="1.7109375" style="193" customWidth="1"/>
    <col min="3369" max="3369" width="0.28515625" style="193" customWidth="1"/>
    <col min="3370" max="3378" width="1.7109375" style="193" customWidth="1"/>
    <col min="3379" max="3379" width="0.28515625" style="193" customWidth="1"/>
    <col min="3380" max="3388" width="1.7109375" style="193" customWidth="1"/>
    <col min="3389" max="3389" width="0.28515625" style="193" customWidth="1"/>
    <col min="3390" max="3398" width="1.7109375" style="193" customWidth="1"/>
    <col min="3399" max="3399" width="0.28515625" style="193" customWidth="1"/>
    <col min="3400" max="3408" width="1.7109375" style="193" customWidth="1"/>
    <col min="3409" max="3584" width="9.140625" style="193"/>
    <col min="3585" max="3585" width="0.28515625" style="193" customWidth="1"/>
    <col min="3586" max="3594" width="1.7109375" style="193" customWidth="1"/>
    <col min="3595" max="3595" width="0.28515625" style="193" customWidth="1"/>
    <col min="3596" max="3604" width="1.7109375" style="193" customWidth="1"/>
    <col min="3605" max="3605" width="0.28515625" style="193" customWidth="1"/>
    <col min="3606" max="3614" width="1.7109375" style="193" customWidth="1"/>
    <col min="3615" max="3615" width="0.28515625" style="193" customWidth="1"/>
    <col min="3616" max="3624" width="1.7109375" style="193" customWidth="1"/>
    <col min="3625" max="3625" width="0.28515625" style="193" customWidth="1"/>
    <col min="3626" max="3634" width="1.7109375" style="193" customWidth="1"/>
    <col min="3635" max="3635" width="0.28515625" style="193" customWidth="1"/>
    <col min="3636" max="3644" width="1.7109375" style="193" customWidth="1"/>
    <col min="3645" max="3645" width="0.28515625" style="193" customWidth="1"/>
    <col min="3646" max="3654" width="1.7109375" style="193" customWidth="1"/>
    <col min="3655" max="3655" width="0.28515625" style="193" customWidth="1"/>
    <col min="3656" max="3664" width="1.7109375" style="193" customWidth="1"/>
    <col min="3665" max="3840" width="9.140625" style="193"/>
    <col min="3841" max="3841" width="0.28515625" style="193" customWidth="1"/>
    <col min="3842" max="3850" width="1.7109375" style="193" customWidth="1"/>
    <col min="3851" max="3851" width="0.28515625" style="193" customWidth="1"/>
    <col min="3852" max="3860" width="1.7109375" style="193" customWidth="1"/>
    <col min="3861" max="3861" width="0.28515625" style="193" customWidth="1"/>
    <col min="3862" max="3870" width="1.7109375" style="193" customWidth="1"/>
    <col min="3871" max="3871" width="0.28515625" style="193" customWidth="1"/>
    <col min="3872" max="3880" width="1.7109375" style="193" customWidth="1"/>
    <col min="3881" max="3881" width="0.28515625" style="193" customWidth="1"/>
    <col min="3882" max="3890" width="1.7109375" style="193" customWidth="1"/>
    <col min="3891" max="3891" width="0.28515625" style="193" customWidth="1"/>
    <col min="3892" max="3900" width="1.7109375" style="193" customWidth="1"/>
    <col min="3901" max="3901" width="0.28515625" style="193" customWidth="1"/>
    <col min="3902" max="3910" width="1.7109375" style="193" customWidth="1"/>
    <col min="3911" max="3911" width="0.28515625" style="193" customWidth="1"/>
    <col min="3912" max="3920" width="1.7109375" style="193" customWidth="1"/>
    <col min="3921" max="4096" width="9.140625" style="193"/>
    <col min="4097" max="4097" width="0.28515625" style="193" customWidth="1"/>
    <col min="4098" max="4106" width="1.7109375" style="193" customWidth="1"/>
    <col min="4107" max="4107" width="0.28515625" style="193" customWidth="1"/>
    <col min="4108" max="4116" width="1.7109375" style="193" customWidth="1"/>
    <col min="4117" max="4117" width="0.28515625" style="193" customWidth="1"/>
    <col min="4118" max="4126" width="1.7109375" style="193" customWidth="1"/>
    <col min="4127" max="4127" width="0.28515625" style="193" customWidth="1"/>
    <col min="4128" max="4136" width="1.7109375" style="193" customWidth="1"/>
    <col min="4137" max="4137" width="0.28515625" style="193" customWidth="1"/>
    <col min="4138" max="4146" width="1.7109375" style="193" customWidth="1"/>
    <col min="4147" max="4147" width="0.28515625" style="193" customWidth="1"/>
    <col min="4148" max="4156" width="1.7109375" style="193" customWidth="1"/>
    <col min="4157" max="4157" width="0.28515625" style="193" customWidth="1"/>
    <col min="4158" max="4166" width="1.7109375" style="193" customWidth="1"/>
    <col min="4167" max="4167" width="0.28515625" style="193" customWidth="1"/>
    <col min="4168" max="4176" width="1.7109375" style="193" customWidth="1"/>
    <col min="4177" max="4352" width="9.140625" style="193"/>
    <col min="4353" max="4353" width="0.28515625" style="193" customWidth="1"/>
    <col min="4354" max="4362" width="1.7109375" style="193" customWidth="1"/>
    <col min="4363" max="4363" width="0.28515625" style="193" customWidth="1"/>
    <col min="4364" max="4372" width="1.7109375" style="193" customWidth="1"/>
    <col min="4373" max="4373" width="0.28515625" style="193" customWidth="1"/>
    <col min="4374" max="4382" width="1.7109375" style="193" customWidth="1"/>
    <col min="4383" max="4383" width="0.28515625" style="193" customWidth="1"/>
    <col min="4384" max="4392" width="1.7109375" style="193" customWidth="1"/>
    <col min="4393" max="4393" width="0.28515625" style="193" customWidth="1"/>
    <col min="4394" max="4402" width="1.7109375" style="193" customWidth="1"/>
    <col min="4403" max="4403" width="0.28515625" style="193" customWidth="1"/>
    <col min="4404" max="4412" width="1.7109375" style="193" customWidth="1"/>
    <col min="4413" max="4413" width="0.28515625" style="193" customWidth="1"/>
    <col min="4414" max="4422" width="1.7109375" style="193" customWidth="1"/>
    <col min="4423" max="4423" width="0.28515625" style="193" customWidth="1"/>
    <col min="4424" max="4432" width="1.7109375" style="193" customWidth="1"/>
    <col min="4433" max="4608" width="9.140625" style="193"/>
    <col min="4609" max="4609" width="0.28515625" style="193" customWidth="1"/>
    <col min="4610" max="4618" width="1.7109375" style="193" customWidth="1"/>
    <col min="4619" max="4619" width="0.28515625" style="193" customWidth="1"/>
    <col min="4620" max="4628" width="1.7109375" style="193" customWidth="1"/>
    <col min="4629" max="4629" width="0.28515625" style="193" customWidth="1"/>
    <col min="4630" max="4638" width="1.7109375" style="193" customWidth="1"/>
    <col min="4639" max="4639" width="0.28515625" style="193" customWidth="1"/>
    <col min="4640" max="4648" width="1.7109375" style="193" customWidth="1"/>
    <col min="4649" max="4649" width="0.28515625" style="193" customWidth="1"/>
    <col min="4650" max="4658" width="1.7109375" style="193" customWidth="1"/>
    <col min="4659" max="4659" width="0.28515625" style="193" customWidth="1"/>
    <col min="4660" max="4668" width="1.7109375" style="193" customWidth="1"/>
    <col min="4669" max="4669" width="0.28515625" style="193" customWidth="1"/>
    <col min="4670" max="4678" width="1.7109375" style="193" customWidth="1"/>
    <col min="4679" max="4679" width="0.28515625" style="193" customWidth="1"/>
    <col min="4680" max="4688" width="1.7109375" style="193" customWidth="1"/>
    <col min="4689" max="4864" width="9.140625" style="193"/>
    <col min="4865" max="4865" width="0.28515625" style="193" customWidth="1"/>
    <col min="4866" max="4874" width="1.7109375" style="193" customWidth="1"/>
    <col min="4875" max="4875" width="0.28515625" style="193" customWidth="1"/>
    <col min="4876" max="4884" width="1.7109375" style="193" customWidth="1"/>
    <col min="4885" max="4885" width="0.28515625" style="193" customWidth="1"/>
    <col min="4886" max="4894" width="1.7109375" style="193" customWidth="1"/>
    <col min="4895" max="4895" width="0.28515625" style="193" customWidth="1"/>
    <col min="4896" max="4904" width="1.7109375" style="193" customWidth="1"/>
    <col min="4905" max="4905" width="0.28515625" style="193" customWidth="1"/>
    <col min="4906" max="4914" width="1.7109375" style="193" customWidth="1"/>
    <col min="4915" max="4915" width="0.28515625" style="193" customWidth="1"/>
    <col min="4916" max="4924" width="1.7109375" style="193" customWidth="1"/>
    <col min="4925" max="4925" width="0.28515625" style="193" customWidth="1"/>
    <col min="4926" max="4934" width="1.7109375" style="193" customWidth="1"/>
    <col min="4935" max="4935" width="0.28515625" style="193" customWidth="1"/>
    <col min="4936" max="4944" width="1.7109375" style="193" customWidth="1"/>
    <col min="4945" max="5120" width="9.140625" style="193"/>
    <col min="5121" max="5121" width="0.28515625" style="193" customWidth="1"/>
    <col min="5122" max="5130" width="1.7109375" style="193" customWidth="1"/>
    <col min="5131" max="5131" width="0.28515625" style="193" customWidth="1"/>
    <col min="5132" max="5140" width="1.7109375" style="193" customWidth="1"/>
    <col min="5141" max="5141" width="0.28515625" style="193" customWidth="1"/>
    <col min="5142" max="5150" width="1.7109375" style="193" customWidth="1"/>
    <col min="5151" max="5151" width="0.28515625" style="193" customWidth="1"/>
    <col min="5152" max="5160" width="1.7109375" style="193" customWidth="1"/>
    <col min="5161" max="5161" width="0.28515625" style="193" customWidth="1"/>
    <col min="5162" max="5170" width="1.7109375" style="193" customWidth="1"/>
    <col min="5171" max="5171" width="0.28515625" style="193" customWidth="1"/>
    <col min="5172" max="5180" width="1.7109375" style="193" customWidth="1"/>
    <col min="5181" max="5181" width="0.28515625" style="193" customWidth="1"/>
    <col min="5182" max="5190" width="1.7109375" style="193" customWidth="1"/>
    <col min="5191" max="5191" width="0.28515625" style="193" customWidth="1"/>
    <col min="5192" max="5200" width="1.7109375" style="193" customWidth="1"/>
    <col min="5201" max="5376" width="9.140625" style="193"/>
    <col min="5377" max="5377" width="0.28515625" style="193" customWidth="1"/>
    <col min="5378" max="5386" width="1.7109375" style="193" customWidth="1"/>
    <col min="5387" max="5387" width="0.28515625" style="193" customWidth="1"/>
    <col min="5388" max="5396" width="1.7109375" style="193" customWidth="1"/>
    <col min="5397" max="5397" width="0.28515625" style="193" customWidth="1"/>
    <col min="5398" max="5406" width="1.7109375" style="193" customWidth="1"/>
    <col min="5407" max="5407" width="0.28515625" style="193" customWidth="1"/>
    <col min="5408" max="5416" width="1.7109375" style="193" customWidth="1"/>
    <col min="5417" max="5417" width="0.28515625" style="193" customWidth="1"/>
    <col min="5418" max="5426" width="1.7109375" style="193" customWidth="1"/>
    <col min="5427" max="5427" width="0.28515625" style="193" customWidth="1"/>
    <col min="5428" max="5436" width="1.7109375" style="193" customWidth="1"/>
    <col min="5437" max="5437" width="0.28515625" style="193" customWidth="1"/>
    <col min="5438" max="5446" width="1.7109375" style="193" customWidth="1"/>
    <col min="5447" max="5447" width="0.28515625" style="193" customWidth="1"/>
    <col min="5448" max="5456" width="1.7109375" style="193" customWidth="1"/>
    <col min="5457" max="5632" width="9.140625" style="193"/>
    <col min="5633" max="5633" width="0.28515625" style="193" customWidth="1"/>
    <col min="5634" max="5642" width="1.7109375" style="193" customWidth="1"/>
    <col min="5643" max="5643" width="0.28515625" style="193" customWidth="1"/>
    <col min="5644" max="5652" width="1.7109375" style="193" customWidth="1"/>
    <col min="5653" max="5653" width="0.28515625" style="193" customWidth="1"/>
    <col min="5654" max="5662" width="1.7109375" style="193" customWidth="1"/>
    <col min="5663" max="5663" width="0.28515625" style="193" customWidth="1"/>
    <col min="5664" max="5672" width="1.7109375" style="193" customWidth="1"/>
    <col min="5673" max="5673" width="0.28515625" style="193" customWidth="1"/>
    <col min="5674" max="5682" width="1.7109375" style="193" customWidth="1"/>
    <col min="5683" max="5683" width="0.28515625" style="193" customWidth="1"/>
    <col min="5684" max="5692" width="1.7109375" style="193" customWidth="1"/>
    <col min="5693" max="5693" width="0.28515625" style="193" customWidth="1"/>
    <col min="5694" max="5702" width="1.7109375" style="193" customWidth="1"/>
    <col min="5703" max="5703" width="0.28515625" style="193" customWidth="1"/>
    <col min="5704" max="5712" width="1.7109375" style="193" customWidth="1"/>
    <col min="5713" max="5888" width="9.140625" style="193"/>
    <col min="5889" max="5889" width="0.28515625" style="193" customWidth="1"/>
    <col min="5890" max="5898" width="1.7109375" style="193" customWidth="1"/>
    <col min="5899" max="5899" width="0.28515625" style="193" customWidth="1"/>
    <col min="5900" max="5908" width="1.7109375" style="193" customWidth="1"/>
    <col min="5909" max="5909" width="0.28515625" style="193" customWidth="1"/>
    <col min="5910" max="5918" width="1.7109375" style="193" customWidth="1"/>
    <col min="5919" max="5919" width="0.28515625" style="193" customWidth="1"/>
    <col min="5920" max="5928" width="1.7109375" style="193" customWidth="1"/>
    <col min="5929" max="5929" width="0.28515625" style="193" customWidth="1"/>
    <col min="5930" max="5938" width="1.7109375" style="193" customWidth="1"/>
    <col min="5939" max="5939" width="0.28515625" style="193" customWidth="1"/>
    <col min="5940" max="5948" width="1.7109375" style="193" customWidth="1"/>
    <col min="5949" max="5949" width="0.28515625" style="193" customWidth="1"/>
    <col min="5950" max="5958" width="1.7109375" style="193" customWidth="1"/>
    <col min="5959" max="5959" width="0.28515625" style="193" customWidth="1"/>
    <col min="5960" max="5968" width="1.7109375" style="193" customWidth="1"/>
    <col min="5969" max="6144" width="9.140625" style="193"/>
    <col min="6145" max="6145" width="0.28515625" style="193" customWidth="1"/>
    <col min="6146" max="6154" width="1.7109375" style="193" customWidth="1"/>
    <col min="6155" max="6155" width="0.28515625" style="193" customWidth="1"/>
    <col min="6156" max="6164" width="1.7109375" style="193" customWidth="1"/>
    <col min="6165" max="6165" width="0.28515625" style="193" customWidth="1"/>
    <col min="6166" max="6174" width="1.7109375" style="193" customWidth="1"/>
    <col min="6175" max="6175" width="0.28515625" style="193" customWidth="1"/>
    <col min="6176" max="6184" width="1.7109375" style="193" customWidth="1"/>
    <col min="6185" max="6185" width="0.28515625" style="193" customWidth="1"/>
    <col min="6186" max="6194" width="1.7109375" style="193" customWidth="1"/>
    <col min="6195" max="6195" width="0.28515625" style="193" customWidth="1"/>
    <col min="6196" max="6204" width="1.7109375" style="193" customWidth="1"/>
    <col min="6205" max="6205" width="0.28515625" style="193" customWidth="1"/>
    <col min="6206" max="6214" width="1.7109375" style="193" customWidth="1"/>
    <col min="6215" max="6215" width="0.28515625" style="193" customWidth="1"/>
    <col min="6216" max="6224" width="1.7109375" style="193" customWidth="1"/>
    <col min="6225" max="6400" width="9.140625" style="193"/>
    <col min="6401" max="6401" width="0.28515625" style="193" customWidth="1"/>
    <col min="6402" max="6410" width="1.7109375" style="193" customWidth="1"/>
    <col min="6411" max="6411" width="0.28515625" style="193" customWidth="1"/>
    <col min="6412" max="6420" width="1.7109375" style="193" customWidth="1"/>
    <col min="6421" max="6421" width="0.28515625" style="193" customWidth="1"/>
    <col min="6422" max="6430" width="1.7109375" style="193" customWidth="1"/>
    <col min="6431" max="6431" width="0.28515625" style="193" customWidth="1"/>
    <col min="6432" max="6440" width="1.7109375" style="193" customWidth="1"/>
    <col min="6441" max="6441" width="0.28515625" style="193" customWidth="1"/>
    <col min="6442" max="6450" width="1.7109375" style="193" customWidth="1"/>
    <col min="6451" max="6451" width="0.28515625" style="193" customWidth="1"/>
    <col min="6452" max="6460" width="1.7109375" style="193" customWidth="1"/>
    <col min="6461" max="6461" width="0.28515625" style="193" customWidth="1"/>
    <col min="6462" max="6470" width="1.7109375" style="193" customWidth="1"/>
    <col min="6471" max="6471" width="0.28515625" style="193" customWidth="1"/>
    <col min="6472" max="6480" width="1.7109375" style="193" customWidth="1"/>
    <col min="6481" max="6656" width="9.140625" style="193"/>
    <col min="6657" max="6657" width="0.28515625" style="193" customWidth="1"/>
    <col min="6658" max="6666" width="1.7109375" style="193" customWidth="1"/>
    <col min="6667" max="6667" width="0.28515625" style="193" customWidth="1"/>
    <col min="6668" max="6676" width="1.7109375" style="193" customWidth="1"/>
    <col min="6677" max="6677" width="0.28515625" style="193" customWidth="1"/>
    <col min="6678" max="6686" width="1.7109375" style="193" customWidth="1"/>
    <col min="6687" max="6687" width="0.28515625" style="193" customWidth="1"/>
    <col min="6688" max="6696" width="1.7109375" style="193" customWidth="1"/>
    <col min="6697" max="6697" width="0.28515625" style="193" customWidth="1"/>
    <col min="6698" max="6706" width="1.7109375" style="193" customWidth="1"/>
    <col min="6707" max="6707" width="0.28515625" style="193" customWidth="1"/>
    <col min="6708" max="6716" width="1.7109375" style="193" customWidth="1"/>
    <col min="6717" max="6717" width="0.28515625" style="193" customWidth="1"/>
    <col min="6718" max="6726" width="1.7109375" style="193" customWidth="1"/>
    <col min="6727" max="6727" width="0.28515625" style="193" customWidth="1"/>
    <col min="6728" max="6736" width="1.7109375" style="193" customWidth="1"/>
    <col min="6737" max="6912" width="9.140625" style="193"/>
    <col min="6913" max="6913" width="0.28515625" style="193" customWidth="1"/>
    <col min="6914" max="6922" width="1.7109375" style="193" customWidth="1"/>
    <col min="6923" max="6923" width="0.28515625" style="193" customWidth="1"/>
    <col min="6924" max="6932" width="1.7109375" style="193" customWidth="1"/>
    <col min="6933" max="6933" width="0.28515625" style="193" customWidth="1"/>
    <col min="6934" max="6942" width="1.7109375" style="193" customWidth="1"/>
    <col min="6943" max="6943" width="0.28515625" style="193" customWidth="1"/>
    <col min="6944" max="6952" width="1.7109375" style="193" customWidth="1"/>
    <col min="6953" max="6953" width="0.28515625" style="193" customWidth="1"/>
    <col min="6954" max="6962" width="1.7109375" style="193" customWidth="1"/>
    <col min="6963" max="6963" width="0.28515625" style="193" customWidth="1"/>
    <col min="6964" max="6972" width="1.7109375" style="193" customWidth="1"/>
    <col min="6973" max="6973" width="0.28515625" style="193" customWidth="1"/>
    <col min="6974" max="6982" width="1.7109375" style="193" customWidth="1"/>
    <col min="6983" max="6983" width="0.28515625" style="193" customWidth="1"/>
    <col min="6984" max="6992" width="1.7109375" style="193" customWidth="1"/>
    <col min="6993" max="7168" width="9.140625" style="193"/>
    <col min="7169" max="7169" width="0.28515625" style="193" customWidth="1"/>
    <col min="7170" max="7178" width="1.7109375" style="193" customWidth="1"/>
    <col min="7179" max="7179" width="0.28515625" style="193" customWidth="1"/>
    <col min="7180" max="7188" width="1.7109375" style="193" customWidth="1"/>
    <col min="7189" max="7189" width="0.28515625" style="193" customWidth="1"/>
    <col min="7190" max="7198" width="1.7109375" style="193" customWidth="1"/>
    <col min="7199" max="7199" width="0.28515625" style="193" customWidth="1"/>
    <col min="7200" max="7208" width="1.7109375" style="193" customWidth="1"/>
    <col min="7209" max="7209" width="0.28515625" style="193" customWidth="1"/>
    <col min="7210" max="7218" width="1.7109375" style="193" customWidth="1"/>
    <col min="7219" max="7219" width="0.28515625" style="193" customWidth="1"/>
    <col min="7220" max="7228" width="1.7109375" style="193" customWidth="1"/>
    <col min="7229" max="7229" width="0.28515625" style="193" customWidth="1"/>
    <col min="7230" max="7238" width="1.7109375" style="193" customWidth="1"/>
    <col min="7239" max="7239" width="0.28515625" style="193" customWidth="1"/>
    <col min="7240" max="7248" width="1.7109375" style="193" customWidth="1"/>
    <col min="7249" max="7424" width="9.140625" style="193"/>
    <col min="7425" max="7425" width="0.28515625" style="193" customWidth="1"/>
    <col min="7426" max="7434" width="1.7109375" style="193" customWidth="1"/>
    <col min="7435" max="7435" width="0.28515625" style="193" customWidth="1"/>
    <col min="7436" max="7444" width="1.7109375" style="193" customWidth="1"/>
    <col min="7445" max="7445" width="0.28515625" style="193" customWidth="1"/>
    <col min="7446" max="7454" width="1.7109375" style="193" customWidth="1"/>
    <col min="7455" max="7455" width="0.28515625" style="193" customWidth="1"/>
    <col min="7456" max="7464" width="1.7109375" style="193" customWidth="1"/>
    <col min="7465" max="7465" width="0.28515625" style="193" customWidth="1"/>
    <col min="7466" max="7474" width="1.7109375" style="193" customWidth="1"/>
    <col min="7475" max="7475" width="0.28515625" style="193" customWidth="1"/>
    <col min="7476" max="7484" width="1.7109375" style="193" customWidth="1"/>
    <col min="7485" max="7485" width="0.28515625" style="193" customWidth="1"/>
    <col min="7486" max="7494" width="1.7109375" style="193" customWidth="1"/>
    <col min="7495" max="7495" width="0.28515625" style="193" customWidth="1"/>
    <col min="7496" max="7504" width="1.7109375" style="193" customWidth="1"/>
    <col min="7505" max="7680" width="9.140625" style="193"/>
    <col min="7681" max="7681" width="0.28515625" style="193" customWidth="1"/>
    <col min="7682" max="7690" width="1.7109375" style="193" customWidth="1"/>
    <col min="7691" max="7691" width="0.28515625" style="193" customWidth="1"/>
    <col min="7692" max="7700" width="1.7109375" style="193" customWidth="1"/>
    <col min="7701" max="7701" width="0.28515625" style="193" customWidth="1"/>
    <col min="7702" max="7710" width="1.7109375" style="193" customWidth="1"/>
    <col min="7711" max="7711" width="0.28515625" style="193" customWidth="1"/>
    <col min="7712" max="7720" width="1.7109375" style="193" customWidth="1"/>
    <col min="7721" max="7721" width="0.28515625" style="193" customWidth="1"/>
    <col min="7722" max="7730" width="1.7109375" style="193" customWidth="1"/>
    <col min="7731" max="7731" width="0.28515625" style="193" customWidth="1"/>
    <col min="7732" max="7740" width="1.7109375" style="193" customWidth="1"/>
    <col min="7741" max="7741" width="0.28515625" style="193" customWidth="1"/>
    <col min="7742" max="7750" width="1.7109375" style="193" customWidth="1"/>
    <col min="7751" max="7751" width="0.28515625" style="193" customWidth="1"/>
    <col min="7752" max="7760" width="1.7109375" style="193" customWidth="1"/>
    <col min="7761" max="7936" width="9.140625" style="193"/>
    <col min="7937" max="7937" width="0.28515625" style="193" customWidth="1"/>
    <col min="7938" max="7946" width="1.7109375" style="193" customWidth="1"/>
    <col min="7947" max="7947" width="0.28515625" style="193" customWidth="1"/>
    <col min="7948" max="7956" width="1.7109375" style="193" customWidth="1"/>
    <col min="7957" max="7957" width="0.28515625" style="193" customWidth="1"/>
    <col min="7958" max="7966" width="1.7109375" style="193" customWidth="1"/>
    <col min="7967" max="7967" width="0.28515625" style="193" customWidth="1"/>
    <col min="7968" max="7976" width="1.7109375" style="193" customWidth="1"/>
    <col min="7977" max="7977" width="0.28515625" style="193" customWidth="1"/>
    <col min="7978" max="7986" width="1.7109375" style="193" customWidth="1"/>
    <col min="7987" max="7987" width="0.28515625" style="193" customWidth="1"/>
    <col min="7988" max="7996" width="1.7109375" style="193" customWidth="1"/>
    <col min="7997" max="7997" width="0.28515625" style="193" customWidth="1"/>
    <col min="7998" max="8006" width="1.7109375" style="193" customWidth="1"/>
    <col min="8007" max="8007" width="0.28515625" style="193" customWidth="1"/>
    <col min="8008" max="8016" width="1.7109375" style="193" customWidth="1"/>
    <col min="8017" max="8192" width="9.140625" style="193"/>
    <col min="8193" max="8193" width="0.28515625" style="193" customWidth="1"/>
    <col min="8194" max="8202" width="1.7109375" style="193" customWidth="1"/>
    <col min="8203" max="8203" width="0.28515625" style="193" customWidth="1"/>
    <col min="8204" max="8212" width="1.7109375" style="193" customWidth="1"/>
    <col min="8213" max="8213" width="0.28515625" style="193" customWidth="1"/>
    <col min="8214" max="8222" width="1.7109375" style="193" customWidth="1"/>
    <col min="8223" max="8223" width="0.28515625" style="193" customWidth="1"/>
    <col min="8224" max="8232" width="1.7109375" style="193" customWidth="1"/>
    <col min="8233" max="8233" width="0.28515625" style="193" customWidth="1"/>
    <col min="8234" max="8242" width="1.7109375" style="193" customWidth="1"/>
    <col min="8243" max="8243" width="0.28515625" style="193" customWidth="1"/>
    <col min="8244" max="8252" width="1.7109375" style="193" customWidth="1"/>
    <col min="8253" max="8253" width="0.28515625" style="193" customWidth="1"/>
    <col min="8254" max="8262" width="1.7109375" style="193" customWidth="1"/>
    <col min="8263" max="8263" width="0.28515625" style="193" customWidth="1"/>
    <col min="8264" max="8272" width="1.7109375" style="193" customWidth="1"/>
    <col min="8273" max="8448" width="9.140625" style="193"/>
    <col min="8449" max="8449" width="0.28515625" style="193" customWidth="1"/>
    <col min="8450" max="8458" width="1.7109375" style="193" customWidth="1"/>
    <col min="8459" max="8459" width="0.28515625" style="193" customWidth="1"/>
    <col min="8460" max="8468" width="1.7109375" style="193" customWidth="1"/>
    <col min="8469" max="8469" width="0.28515625" style="193" customWidth="1"/>
    <col min="8470" max="8478" width="1.7109375" style="193" customWidth="1"/>
    <col min="8479" max="8479" width="0.28515625" style="193" customWidth="1"/>
    <col min="8480" max="8488" width="1.7109375" style="193" customWidth="1"/>
    <col min="8489" max="8489" width="0.28515625" style="193" customWidth="1"/>
    <col min="8490" max="8498" width="1.7109375" style="193" customWidth="1"/>
    <col min="8499" max="8499" width="0.28515625" style="193" customWidth="1"/>
    <col min="8500" max="8508" width="1.7109375" style="193" customWidth="1"/>
    <col min="8509" max="8509" width="0.28515625" style="193" customWidth="1"/>
    <col min="8510" max="8518" width="1.7109375" style="193" customWidth="1"/>
    <col min="8519" max="8519" width="0.28515625" style="193" customWidth="1"/>
    <col min="8520" max="8528" width="1.7109375" style="193" customWidth="1"/>
    <col min="8529" max="8704" width="9.140625" style="193"/>
    <col min="8705" max="8705" width="0.28515625" style="193" customWidth="1"/>
    <col min="8706" max="8714" width="1.7109375" style="193" customWidth="1"/>
    <col min="8715" max="8715" width="0.28515625" style="193" customWidth="1"/>
    <col min="8716" max="8724" width="1.7109375" style="193" customWidth="1"/>
    <col min="8725" max="8725" width="0.28515625" style="193" customWidth="1"/>
    <col min="8726" max="8734" width="1.7109375" style="193" customWidth="1"/>
    <col min="8735" max="8735" width="0.28515625" style="193" customWidth="1"/>
    <col min="8736" max="8744" width="1.7109375" style="193" customWidth="1"/>
    <col min="8745" max="8745" width="0.28515625" style="193" customWidth="1"/>
    <col min="8746" max="8754" width="1.7109375" style="193" customWidth="1"/>
    <col min="8755" max="8755" width="0.28515625" style="193" customWidth="1"/>
    <col min="8756" max="8764" width="1.7109375" style="193" customWidth="1"/>
    <col min="8765" max="8765" width="0.28515625" style="193" customWidth="1"/>
    <col min="8766" max="8774" width="1.7109375" style="193" customWidth="1"/>
    <col min="8775" max="8775" width="0.28515625" style="193" customWidth="1"/>
    <col min="8776" max="8784" width="1.7109375" style="193" customWidth="1"/>
    <col min="8785" max="8960" width="9.140625" style="193"/>
    <col min="8961" max="8961" width="0.28515625" style="193" customWidth="1"/>
    <col min="8962" max="8970" width="1.7109375" style="193" customWidth="1"/>
    <col min="8971" max="8971" width="0.28515625" style="193" customWidth="1"/>
    <col min="8972" max="8980" width="1.7109375" style="193" customWidth="1"/>
    <col min="8981" max="8981" width="0.28515625" style="193" customWidth="1"/>
    <col min="8982" max="8990" width="1.7109375" style="193" customWidth="1"/>
    <col min="8991" max="8991" width="0.28515625" style="193" customWidth="1"/>
    <col min="8992" max="9000" width="1.7109375" style="193" customWidth="1"/>
    <col min="9001" max="9001" width="0.28515625" style="193" customWidth="1"/>
    <col min="9002" max="9010" width="1.7109375" style="193" customWidth="1"/>
    <col min="9011" max="9011" width="0.28515625" style="193" customWidth="1"/>
    <col min="9012" max="9020" width="1.7109375" style="193" customWidth="1"/>
    <col min="9021" max="9021" width="0.28515625" style="193" customWidth="1"/>
    <col min="9022" max="9030" width="1.7109375" style="193" customWidth="1"/>
    <col min="9031" max="9031" width="0.28515625" style="193" customWidth="1"/>
    <col min="9032" max="9040" width="1.7109375" style="193" customWidth="1"/>
    <col min="9041" max="9216" width="9.140625" style="193"/>
    <col min="9217" max="9217" width="0.28515625" style="193" customWidth="1"/>
    <col min="9218" max="9226" width="1.7109375" style="193" customWidth="1"/>
    <col min="9227" max="9227" width="0.28515625" style="193" customWidth="1"/>
    <col min="9228" max="9236" width="1.7109375" style="193" customWidth="1"/>
    <col min="9237" max="9237" width="0.28515625" style="193" customWidth="1"/>
    <col min="9238" max="9246" width="1.7109375" style="193" customWidth="1"/>
    <col min="9247" max="9247" width="0.28515625" style="193" customWidth="1"/>
    <col min="9248" max="9256" width="1.7109375" style="193" customWidth="1"/>
    <col min="9257" max="9257" width="0.28515625" style="193" customWidth="1"/>
    <col min="9258" max="9266" width="1.7109375" style="193" customWidth="1"/>
    <col min="9267" max="9267" width="0.28515625" style="193" customWidth="1"/>
    <col min="9268" max="9276" width="1.7109375" style="193" customWidth="1"/>
    <col min="9277" max="9277" width="0.28515625" style="193" customWidth="1"/>
    <col min="9278" max="9286" width="1.7109375" style="193" customWidth="1"/>
    <col min="9287" max="9287" width="0.28515625" style="193" customWidth="1"/>
    <col min="9288" max="9296" width="1.7109375" style="193" customWidth="1"/>
    <col min="9297" max="9472" width="9.140625" style="193"/>
    <col min="9473" max="9473" width="0.28515625" style="193" customWidth="1"/>
    <col min="9474" max="9482" width="1.7109375" style="193" customWidth="1"/>
    <col min="9483" max="9483" width="0.28515625" style="193" customWidth="1"/>
    <col min="9484" max="9492" width="1.7109375" style="193" customWidth="1"/>
    <col min="9493" max="9493" width="0.28515625" style="193" customWidth="1"/>
    <col min="9494" max="9502" width="1.7109375" style="193" customWidth="1"/>
    <col min="9503" max="9503" width="0.28515625" style="193" customWidth="1"/>
    <col min="9504" max="9512" width="1.7109375" style="193" customWidth="1"/>
    <col min="9513" max="9513" width="0.28515625" style="193" customWidth="1"/>
    <col min="9514" max="9522" width="1.7109375" style="193" customWidth="1"/>
    <col min="9523" max="9523" width="0.28515625" style="193" customWidth="1"/>
    <col min="9524" max="9532" width="1.7109375" style="193" customWidth="1"/>
    <col min="9533" max="9533" width="0.28515625" style="193" customWidth="1"/>
    <col min="9534" max="9542" width="1.7109375" style="193" customWidth="1"/>
    <col min="9543" max="9543" width="0.28515625" style="193" customWidth="1"/>
    <col min="9544" max="9552" width="1.7109375" style="193" customWidth="1"/>
    <col min="9553" max="9728" width="9.140625" style="193"/>
    <col min="9729" max="9729" width="0.28515625" style="193" customWidth="1"/>
    <col min="9730" max="9738" width="1.7109375" style="193" customWidth="1"/>
    <col min="9739" max="9739" width="0.28515625" style="193" customWidth="1"/>
    <col min="9740" max="9748" width="1.7109375" style="193" customWidth="1"/>
    <col min="9749" max="9749" width="0.28515625" style="193" customWidth="1"/>
    <col min="9750" max="9758" width="1.7109375" style="193" customWidth="1"/>
    <col min="9759" max="9759" width="0.28515625" style="193" customWidth="1"/>
    <col min="9760" max="9768" width="1.7109375" style="193" customWidth="1"/>
    <col min="9769" max="9769" width="0.28515625" style="193" customWidth="1"/>
    <col min="9770" max="9778" width="1.7109375" style="193" customWidth="1"/>
    <col min="9779" max="9779" width="0.28515625" style="193" customWidth="1"/>
    <col min="9780" max="9788" width="1.7109375" style="193" customWidth="1"/>
    <col min="9789" max="9789" width="0.28515625" style="193" customWidth="1"/>
    <col min="9790" max="9798" width="1.7109375" style="193" customWidth="1"/>
    <col min="9799" max="9799" width="0.28515625" style="193" customWidth="1"/>
    <col min="9800" max="9808" width="1.7109375" style="193" customWidth="1"/>
    <col min="9809" max="9984" width="9.140625" style="193"/>
    <col min="9985" max="9985" width="0.28515625" style="193" customWidth="1"/>
    <col min="9986" max="9994" width="1.7109375" style="193" customWidth="1"/>
    <col min="9995" max="9995" width="0.28515625" style="193" customWidth="1"/>
    <col min="9996" max="10004" width="1.7109375" style="193" customWidth="1"/>
    <col min="10005" max="10005" width="0.28515625" style="193" customWidth="1"/>
    <col min="10006" max="10014" width="1.7109375" style="193" customWidth="1"/>
    <col min="10015" max="10015" width="0.28515625" style="193" customWidth="1"/>
    <col min="10016" max="10024" width="1.7109375" style="193" customWidth="1"/>
    <col min="10025" max="10025" width="0.28515625" style="193" customWidth="1"/>
    <col min="10026" max="10034" width="1.7109375" style="193" customWidth="1"/>
    <col min="10035" max="10035" width="0.28515625" style="193" customWidth="1"/>
    <col min="10036" max="10044" width="1.7109375" style="193" customWidth="1"/>
    <col min="10045" max="10045" width="0.28515625" style="193" customWidth="1"/>
    <col min="10046" max="10054" width="1.7109375" style="193" customWidth="1"/>
    <col min="10055" max="10055" width="0.28515625" style="193" customWidth="1"/>
    <col min="10056" max="10064" width="1.7109375" style="193" customWidth="1"/>
    <col min="10065" max="10240" width="9.140625" style="193"/>
    <col min="10241" max="10241" width="0.28515625" style="193" customWidth="1"/>
    <col min="10242" max="10250" width="1.7109375" style="193" customWidth="1"/>
    <col min="10251" max="10251" width="0.28515625" style="193" customWidth="1"/>
    <col min="10252" max="10260" width="1.7109375" style="193" customWidth="1"/>
    <col min="10261" max="10261" width="0.28515625" style="193" customWidth="1"/>
    <col min="10262" max="10270" width="1.7109375" style="193" customWidth="1"/>
    <col min="10271" max="10271" width="0.28515625" style="193" customWidth="1"/>
    <col min="10272" max="10280" width="1.7109375" style="193" customWidth="1"/>
    <col min="10281" max="10281" width="0.28515625" style="193" customWidth="1"/>
    <col min="10282" max="10290" width="1.7109375" style="193" customWidth="1"/>
    <col min="10291" max="10291" width="0.28515625" style="193" customWidth="1"/>
    <col min="10292" max="10300" width="1.7109375" style="193" customWidth="1"/>
    <col min="10301" max="10301" width="0.28515625" style="193" customWidth="1"/>
    <col min="10302" max="10310" width="1.7109375" style="193" customWidth="1"/>
    <col min="10311" max="10311" width="0.28515625" style="193" customWidth="1"/>
    <col min="10312" max="10320" width="1.7109375" style="193" customWidth="1"/>
    <col min="10321" max="10496" width="9.140625" style="193"/>
    <col min="10497" max="10497" width="0.28515625" style="193" customWidth="1"/>
    <col min="10498" max="10506" width="1.7109375" style="193" customWidth="1"/>
    <col min="10507" max="10507" width="0.28515625" style="193" customWidth="1"/>
    <col min="10508" max="10516" width="1.7109375" style="193" customWidth="1"/>
    <col min="10517" max="10517" width="0.28515625" style="193" customWidth="1"/>
    <col min="10518" max="10526" width="1.7109375" style="193" customWidth="1"/>
    <col min="10527" max="10527" width="0.28515625" style="193" customWidth="1"/>
    <col min="10528" max="10536" width="1.7109375" style="193" customWidth="1"/>
    <col min="10537" max="10537" width="0.28515625" style="193" customWidth="1"/>
    <col min="10538" max="10546" width="1.7109375" style="193" customWidth="1"/>
    <col min="10547" max="10547" width="0.28515625" style="193" customWidth="1"/>
    <col min="10548" max="10556" width="1.7109375" style="193" customWidth="1"/>
    <col min="10557" max="10557" width="0.28515625" style="193" customWidth="1"/>
    <col min="10558" max="10566" width="1.7109375" style="193" customWidth="1"/>
    <col min="10567" max="10567" width="0.28515625" style="193" customWidth="1"/>
    <col min="10568" max="10576" width="1.7109375" style="193" customWidth="1"/>
    <col min="10577" max="10752" width="9.140625" style="193"/>
    <col min="10753" max="10753" width="0.28515625" style="193" customWidth="1"/>
    <col min="10754" max="10762" width="1.7109375" style="193" customWidth="1"/>
    <col min="10763" max="10763" width="0.28515625" style="193" customWidth="1"/>
    <col min="10764" max="10772" width="1.7109375" style="193" customWidth="1"/>
    <col min="10773" max="10773" width="0.28515625" style="193" customWidth="1"/>
    <col min="10774" max="10782" width="1.7109375" style="193" customWidth="1"/>
    <col min="10783" max="10783" width="0.28515625" style="193" customWidth="1"/>
    <col min="10784" max="10792" width="1.7109375" style="193" customWidth="1"/>
    <col min="10793" max="10793" width="0.28515625" style="193" customWidth="1"/>
    <col min="10794" max="10802" width="1.7109375" style="193" customWidth="1"/>
    <col min="10803" max="10803" width="0.28515625" style="193" customWidth="1"/>
    <col min="10804" max="10812" width="1.7109375" style="193" customWidth="1"/>
    <col min="10813" max="10813" width="0.28515625" style="193" customWidth="1"/>
    <col min="10814" max="10822" width="1.7109375" style="193" customWidth="1"/>
    <col min="10823" max="10823" width="0.28515625" style="193" customWidth="1"/>
    <col min="10824" max="10832" width="1.7109375" style="193" customWidth="1"/>
    <col min="10833" max="11008" width="9.140625" style="193"/>
    <col min="11009" max="11009" width="0.28515625" style="193" customWidth="1"/>
    <col min="11010" max="11018" width="1.7109375" style="193" customWidth="1"/>
    <col min="11019" max="11019" width="0.28515625" style="193" customWidth="1"/>
    <col min="11020" max="11028" width="1.7109375" style="193" customWidth="1"/>
    <col min="11029" max="11029" width="0.28515625" style="193" customWidth="1"/>
    <col min="11030" max="11038" width="1.7109375" style="193" customWidth="1"/>
    <col min="11039" max="11039" width="0.28515625" style="193" customWidth="1"/>
    <col min="11040" max="11048" width="1.7109375" style="193" customWidth="1"/>
    <col min="11049" max="11049" width="0.28515625" style="193" customWidth="1"/>
    <col min="11050" max="11058" width="1.7109375" style="193" customWidth="1"/>
    <col min="11059" max="11059" width="0.28515625" style="193" customWidth="1"/>
    <col min="11060" max="11068" width="1.7109375" style="193" customWidth="1"/>
    <col min="11069" max="11069" width="0.28515625" style="193" customWidth="1"/>
    <col min="11070" max="11078" width="1.7109375" style="193" customWidth="1"/>
    <col min="11079" max="11079" width="0.28515625" style="193" customWidth="1"/>
    <col min="11080" max="11088" width="1.7109375" style="193" customWidth="1"/>
    <col min="11089" max="11264" width="9.140625" style="193"/>
    <col min="11265" max="11265" width="0.28515625" style="193" customWidth="1"/>
    <col min="11266" max="11274" width="1.7109375" style="193" customWidth="1"/>
    <col min="11275" max="11275" width="0.28515625" style="193" customWidth="1"/>
    <col min="11276" max="11284" width="1.7109375" style="193" customWidth="1"/>
    <col min="11285" max="11285" width="0.28515625" style="193" customWidth="1"/>
    <col min="11286" max="11294" width="1.7109375" style="193" customWidth="1"/>
    <col min="11295" max="11295" width="0.28515625" style="193" customWidth="1"/>
    <col min="11296" max="11304" width="1.7109375" style="193" customWidth="1"/>
    <col min="11305" max="11305" width="0.28515625" style="193" customWidth="1"/>
    <col min="11306" max="11314" width="1.7109375" style="193" customWidth="1"/>
    <col min="11315" max="11315" width="0.28515625" style="193" customWidth="1"/>
    <col min="11316" max="11324" width="1.7109375" style="193" customWidth="1"/>
    <col min="11325" max="11325" width="0.28515625" style="193" customWidth="1"/>
    <col min="11326" max="11334" width="1.7109375" style="193" customWidth="1"/>
    <col min="11335" max="11335" width="0.28515625" style="193" customWidth="1"/>
    <col min="11336" max="11344" width="1.7109375" style="193" customWidth="1"/>
    <col min="11345" max="11520" width="9.140625" style="193"/>
    <col min="11521" max="11521" width="0.28515625" style="193" customWidth="1"/>
    <col min="11522" max="11530" width="1.7109375" style="193" customWidth="1"/>
    <col min="11531" max="11531" width="0.28515625" style="193" customWidth="1"/>
    <col min="11532" max="11540" width="1.7109375" style="193" customWidth="1"/>
    <col min="11541" max="11541" width="0.28515625" style="193" customWidth="1"/>
    <col min="11542" max="11550" width="1.7109375" style="193" customWidth="1"/>
    <col min="11551" max="11551" width="0.28515625" style="193" customWidth="1"/>
    <col min="11552" max="11560" width="1.7109375" style="193" customWidth="1"/>
    <col min="11561" max="11561" width="0.28515625" style="193" customWidth="1"/>
    <col min="11562" max="11570" width="1.7109375" style="193" customWidth="1"/>
    <col min="11571" max="11571" width="0.28515625" style="193" customWidth="1"/>
    <col min="11572" max="11580" width="1.7109375" style="193" customWidth="1"/>
    <col min="11581" max="11581" width="0.28515625" style="193" customWidth="1"/>
    <col min="11582" max="11590" width="1.7109375" style="193" customWidth="1"/>
    <col min="11591" max="11591" width="0.28515625" style="193" customWidth="1"/>
    <col min="11592" max="11600" width="1.7109375" style="193" customWidth="1"/>
    <col min="11601" max="11776" width="9.140625" style="193"/>
    <col min="11777" max="11777" width="0.28515625" style="193" customWidth="1"/>
    <col min="11778" max="11786" width="1.7109375" style="193" customWidth="1"/>
    <col min="11787" max="11787" width="0.28515625" style="193" customWidth="1"/>
    <col min="11788" max="11796" width="1.7109375" style="193" customWidth="1"/>
    <col min="11797" max="11797" width="0.28515625" style="193" customWidth="1"/>
    <col min="11798" max="11806" width="1.7109375" style="193" customWidth="1"/>
    <col min="11807" max="11807" width="0.28515625" style="193" customWidth="1"/>
    <col min="11808" max="11816" width="1.7109375" style="193" customWidth="1"/>
    <col min="11817" max="11817" width="0.28515625" style="193" customWidth="1"/>
    <col min="11818" max="11826" width="1.7109375" style="193" customWidth="1"/>
    <col min="11827" max="11827" width="0.28515625" style="193" customWidth="1"/>
    <col min="11828" max="11836" width="1.7109375" style="193" customWidth="1"/>
    <col min="11837" max="11837" width="0.28515625" style="193" customWidth="1"/>
    <col min="11838" max="11846" width="1.7109375" style="193" customWidth="1"/>
    <col min="11847" max="11847" width="0.28515625" style="193" customWidth="1"/>
    <col min="11848" max="11856" width="1.7109375" style="193" customWidth="1"/>
    <col min="11857" max="12032" width="9.140625" style="193"/>
    <col min="12033" max="12033" width="0.28515625" style="193" customWidth="1"/>
    <col min="12034" max="12042" width="1.7109375" style="193" customWidth="1"/>
    <col min="12043" max="12043" width="0.28515625" style="193" customWidth="1"/>
    <col min="12044" max="12052" width="1.7109375" style="193" customWidth="1"/>
    <col min="12053" max="12053" width="0.28515625" style="193" customWidth="1"/>
    <col min="12054" max="12062" width="1.7109375" style="193" customWidth="1"/>
    <col min="12063" max="12063" width="0.28515625" style="193" customWidth="1"/>
    <col min="12064" max="12072" width="1.7109375" style="193" customWidth="1"/>
    <col min="12073" max="12073" width="0.28515625" style="193" customWidth="1"/>
    <col min="12074" max="12082" width="1.7109375" style="193" customWidth="1"/>
    <col min="12083" max="12083" width="0.28515625" style="193" customWidth="1"/>
    <col min="12084" max="12092" width="1.7109375" style="193" customWidth="1"/>
    <col min="12093" max="12093" width="0.28515625" style="193" customWidth="1"/>
    <col min="12094" max="12102" width="1.7109375" style="193" customWidth="1"/>
    <col min="12103" max="12103" width="0.28515625" style="193" customWidth="1"/>
    <col min="12104" max="12112" width="1.7109375" style="193" customWidth="1"/>
    <col min="12113" max="12288" width="9.140625" style="193"/>
    <col min="12289" max="12289" width="0.28515625" style="193" customWidth="1"/>
    <col min="12290" max="12298" width="1.7109375" style="193" customWidth="1"/>
    <col min="12299" max="12299" width="0.28515625" style="193" customWidth="1"/>
    <col min="12300" max="12308" width="1.7109375" style="193" customWidth="1"/>
    <col min="12309" max="12309" width="0.28515625" style="193" customWidth="1"/>
    <col min="12310" max="12318" width="1.7109375" style="193" customWidth="1"/>
    <col min="12319" max="12319" width="0.28515625" style="193" customWidth="1"/>
    <col min="12320" max="12328" width="1.7109375" style="193" customWidth="1"/>
    <col min="12329" max="12329" width="0.28515625" style="193" customWidth="1"/>
    <col min="12330" max="12338" width="1.7109375" style="193" customWidth="1"/>
    <col min="12339" max="12339" width="0.28515625" style="193" customWidth="1"/>
    <col min="12340" max="12348" width="1.7109375" style="193" customWidth="1"/>
    <col min="12349" max="12349" width="0.28515625" style="193" customWidth="1"/>
    <col min="12350" max="12358" width="1.7109375" style="193" customWidth="1"/>
    <col min="12359" max="12359" width="0.28515625" style="193" customWidth="1"/>
    <col min="12360" max="12368" width="1.7109375" style="193" customWidth="1"/>
    <col min="12369" max="12544" width="9.140625" style="193"/>
    <col min="12545" max="12545" width="0.28515625" style="193" customWidth="1"/>
    <col min="12546" max="12554" width="1.7109375" style="193" customWidth="1"/>
    <col min="12555" max="12555" width="0.28515625" style="193" customWidth="1"/>
    <col min="12556" max="12564" width="1.7109375" style="193" customWidth="1"/>
    <col min="12565" max="12565" width="0.28515625" style="193" customWidth="1"/>
    <col min="12566" max="12574" width="1.7109375" style="193" customWidth="1"/>
    <col min="12575" max="12575" width="0.28515625" style="193" customWidth="1"/>
    <col min="12576" max="12584" width="1.7109375" style="193" customWidth="1"/>
    <col min="12585" max="12585" width="0.28515625" style="193" customWidth="1"/>
    <col min="12586" max="12594" width="1.7109375" style="193" customWidth="1"/>
    <col min="12595" max="12595" width="0.28515625" style="193" customWidth="1"/>
    <col min="12596" max="12604" width="1.7109375" style="193" customWidth="1"/>
    <col min="12605" max="12605" width="0.28515625" style="193" customWidth="1"/>
    <col min="12606" max="12614" width="1.7109375" style="193" customWidth="1"/>
    <col min="12615" max="12615" width="0.28515625" style="193" customWidth="1"/>
    <col min="12616" max="12624" width="1.7109375" style="193" customWidth="1"/>
    <col min="12625" max="12800" width="9.140625" style="193"/>
    <col min="12801" max="12801" width="0.28515625" style="193" customWidth="1"/>
    <col min="12802" max="12810" width="1.7109375" style="193" customWidth="1"/>
    <col min="12811" max="12811" width="0.28515625" style="193" customWidth="1"/>
    <col min="12812" max="12820" width="1.7109375" style="193" customWidth="1"/>
    <col min="12821" max="12821" width="0.28515625" style="193" customWidth="1"/>
    <col min="12822" max="12830" width="1.7109375" style="193" customWidth="1"/>
    <col min="12831" max="12831" width="0.28515625" style="193" customWidth="1"/>
    <col min="12832" max="12840" width="1.7109375" style="193" customWidth="1"/>
    <col min="12841" max="12841" width="0.28515625" style="193" customWidth="1"/>
    <col min="12842" max="12850" width="1.7109375" style="193" customWidth="1"/>
    <col min="12851" max="12851" width="0.28515625" style="193" customWidth="1"/>
    <col min="12852" max="12860" width="1.7109375" style="193" customWidth="1"/>
    <col min="12861" max="12861" width="0.28515625" style="193" customWidth="1"/>
    <col min="12862" max="12870" width="1.7109375" style="193" customWidth="1"/>
    <col min="12871" max="12871" width="0.28515625" style="193" customWidth="1"/>
    <col min="12872" max="12880" width="1.7109375" style="193" customWidth="1"/>
    <col min="12881" max="13056" width="9.140625" style="193"/>
    <col min="13057" max="13057" width="0.28515625" style="193" customWidth="1"/>
    <col min="13058" max="13066" width="1.7109375" style="193" customWidth="1"/>
    <col min="13067" max="13067" width="0.28515625" style="193" customWidth="1"/>
    <col min="13068" max="13076" width="1.7109375" style="193" customWidth="1"/>
    <col min="13077" max="13077" width="0.28515625" style="193" customWidth="1"/>
    <col min="13078" max="13086" width="1.7109375" style="193" customWidth="1"/>
    <col min="13087" max="13087" width="0.28515625" style="193" customWidth="1"/>
    <col min="13088" max="13096" width="1.7109375" style="193" customWidth="1"/>
    <col min="13097" max="13097" width="0.28515625" style="193" customWidth="1"/>
    <col min="13098" max="13106" width="1.7109375" style="193" customWidth="1"/>
    <col min="13107" max="13107" width="0.28515625" style="193" customWidth="1"/>
    <col min="13108" max="13116" width="1.7109375" style="193" customWidth="1"/>
    <col min="13117" max="13117" width="0.28515625" style="193" customWidth="1"/>
    <col min="13118" max="13126" width="1.7109375" style="193" customWidth="1"/>
    <col min="13127" max="13127" width="0.28515625" style="193" customWidth="1"/>
    <col min="13128" max="13136" width="1.7109375" style="193" customWidth="1"/>
    <col min="13137" max="13312" width="9.140625" style="193"/>
    <col min="13313" max="13313" width="0.28515625" style="193" customWidth="1"/>
    <col min="13314" max="13322" width="1.7109375" style="193" customWidth="1"/>
    <col min="13323" max="13323" width="0.28515625" style="193" customWidth="1"/>
    <col min="13324" max="13332" width="1.7109375" style="193" customWidth="1"/>
    <col min="13333" max="13333" width="0.28515625" style="193" customWidth="1"/>
    <col min="13334" max="13342" width="1.7109375" style="193" customWidth="1"/>
    <col min="13343" max="13343" width="0.28515625" style="193" customWidth="1"/>
    <col min="13344" max="13352" width="1.7109375" style="193" customWidth="1"/>
    <col min="13353" max="13353" width="0.28515625" style="193" customWidth="1"/>
    <col min="13354" max="13362" width="1.7109375" style="193" customWidth="1"/>
    <col min="13363" max="13363" width="0.28515625" style="193" customWidth="1"/>
    <col min="13364" max="13372" width="1.7109375" style="193" customWidth="1"/>
    <col min="13373" max="13373" width="0.28515625" style="193" customWidth="1"/>
    <col min="13374" max="13382" width="1.7109375" style="193" customWidth="1"/>
    <col min="13383" max="13383" width="0.28515625" style="193" customWidth="1"/>
    <col min="13384" max="13392" width="1.7109375" style="193" customWidth="1"/>
    <col min="13393" max="13568" width="9.140625" style="193"/>
    <col min="13569" max="13569" width="0.28515625" style="193" customWidth="1"/>
    <col min="13570" max="13578" width="1.7109375" style="193" customWidth="1"/>
    <col min="13579" max="13579" width="0.28515625" style="193" customWidth="1"/>
    <col min="13580" max="13588" width="1.7109375" style="193" customWidth="1"/>
    <col min="13589" max="13589" width="0.28515625" style="193" customWidth="1"/>
    <col min="13590" max="13598" width="1.7109375" style="193" customWidth="1"/>
    <col min="13599" max="13599" width="0.28515625" style="193" customWidth="1"/>
    <col min="13600" max="13608" width="1.7109375" style="193" customWidth="1"/>
    <col min="13609" max="13609" width="0.28515625" style="193" customWidth="1"/>
    <col min="13610" max="13618" width="1.7109375" style="193" customWidth="1"/>
    <col min="13619" max="13619" width="0.28515625" style="193" customWidth="1"/>
    <col min="13620" max="13628" width="1.7109375" style="193" customWidth="1"/>
    <col min="13629" max="13629" width="0.28515625" style="193" customWidth="1"/>
    <col min="13630" max="13638" width="1.7109375" style="193" customWidth="1"/>
    <col min="13639" max="13639" width="0.28515625" style="193" customWidth="1"/>
    <col min="13640" max="13648" width="1.7109375" style="193" customWidth="1"/>
    <col min="13649" max="13824" width="9.140625" style="193"/>
    <col min="13825" max="13825" width="0.28515625" style="193" customWidth="1"/>
    <col min="13826" max="13834" width="1.7109375" style="193" customWidth="1"/>
    <col min="13835" max="13835" width="0.28515625" style="193" customWidth="1"/>
    <col min="13836" max="13844" width="1.7109375" style="193" customWidth="1"/>
    <col min="13845" max="13845" width="0.28515625" style="193" customWidth="1"/>
    <col min="13846" max="13854" width="1.7109375" style="193" customWidth="1"/>
    <col min="13855" max="13855" width="0.28515625" style="193" customWidth="1"/>
    <col min="13856" max="13864" width="1.7109375" style="193" customWidth="1"/>
    <col min="13865" max="13865" width="0.28515625" style="193" customWidth="1"/>
    <col min="13866" max="13874" width="1.7109375" style="193" customWidth="1"/>
    <col min="13875" max="13875" width="0.28515625" style="193" customWidth="1"/>
    <col min="13876" max="13884" width="1.7109375" style="193" customWidth="1"/>
    <col min="13885" max="13885" width="0.28515625" style="193" customWidth="1"/>
    <col min="13886" max="13894" width="1.7109375" style="193" customWidth="1"/>
    <col min="13895" max="13895" width="0.28515625" style="193" customWidth="1"/>
    <col min="13896" max="13904" width="1.7109375" style="193" customWidth="1"/>
    <col min="13905" max="14080" width="9.140625" style="193"/>
    <col min="14081" max="14081" width="0.28515625" style="193" customWidth="1"/>
    <col min="14082" max="14090" width="1.7109375" style="193" customWidth="1"/>
    <col min="14091" max="14091" width="0.28515625" style="193" customWidth="1"/>
    <col min="14092" max="14100" width="1.7109375" style="193" customWidth="1"/>
    <col min="14101" max="14101" width="0.28515625" style="193" customWidth="1"/>
    <col min="14102" max="14110" width="1.7109375" style="193" customWidth="1"/>
    <col min="14111" max="14111" width="0.28515625" style="193" customWidth="1"/>
    <col min="14112" max="14120" width="1.7109375" style="193" customWidth="1"/>
    <col min="14121" max="14121" width="0.28515625" style="193" customWidth="1"/>
    <col min="14122" max="14130" width="1.7109375" style="193" customWidth="1"/>
    <col min="14131" max="14131" width="0.28515625" style="193" customWidth="1"/>
    <col min="14132" max="14140" width="1.7109375" style="193" customWidth="1"/>
    <col min="14141" max="14141" width="0.28515625" style="193" customWidth="1"/>
    <col min="14142" max="14150" width="1.7109375" style="193" customWidth="1"/>
    <col min="14151" max="14151" width="0.28515625" style="193" customWidth="1"/>
    <col min="14152" max="14160" width="1.7109375" style="193" customWidth="1"/>
    <col min="14161" max="14336" width="9.140625" style="193"/>
    <col min="14337" max="14337" width="0.28515625" style="193" customWidth="1"/>
    <col min="14338" max="14346" width="1.7109375" style="193" customWidth="1"/>
    <col min="14347" max="14347" width="0.28515625" style="193" customWidth="1"/>
    <col min="14348" max="14356" width="1.7109375" style="193" customWidth="1"/>
    <col min="14357" max="14357" width="0.28515625" style="193" customWidth="1"/>
    <col min="14358" max="14366" width="1.7109375" style="193" customWidth="1"/>
    <col min="14367" max="14367" width="0.28515625" style="193" customWidth="1"/>
    <col min="14368" max="14376" width="1.7109375" style="193" customWidth="1"/>
    <col min="14377" max="14377" width="0.28515625" style="193" customWidth="1"/>
    <col min="14378" max="14386" width="1.7109375" style="193" customWidth="1"/>
    <col min="14387" max="14387" width="0.28515625" style="193" customWidth="1"/>
    <col min="14388" max="14396" width="1.7109375" style="193" customWidth="1"/>
    <col min="14397" max="14397" width="0.28515625" style="193" customWidth="1"/>
    <col min="14398" max="14406" width="1.7109375" style="193" customWidth="1"/>
    <col min="14407" max="14407" width="0.28515625" style="193" customWidth="1"/>
    <col min="14408" max="14416" width="1.7109375" style="193" customWidth="1"/>
    <col min="14417" max="14592" width="9.140625" style="193"/>
    <col min="14593" max="14593" width="0.28515625" style="193" customWidth="1"/>
    <col min="14594" max="14602" width="1.7109375" style="193" customWidth="1"/>
    <col min="14603" max="14603" width="0.28515625" style="193" customWidth="1"/>
    <col min="14604" max="14612" width="1.7109375" style="193" customWidth="1"/>
    <col min="14613" max="14613" width="0.28515625" style="193" customWidth="1"/>
    <col min="14614" max="14622" width="1.7109375" style="193" customWidth="1"/>
    <col min="14623" max="14623" width="0.28515625" style="193" customWidth="1"/>
    <col min="14624" max="14632" width="1.7109375" style="193" customWidth="1"/>
    <col min="14633" max="14633" width="0.28515625" style="193" customWidth="1"/>
    <col min="14634" max="14642" width="1.7109375" style="193" customWidth="1"/>
    <col min="14643" max="14643" width="0.28515625" style="193" customWidth="1"/>
    <col min="14644" max="14652" width="1.7109375" style="193" customWidth="1"/>
    <col min="14653" max="14653" width="0.28515625" style="193" customWidth="1"/>
    <col min="14654" max="14662" width="1.7109375" style="193" customWidth="1"/>
    <col min="14663" max="14663" width="0.28515625" style="193" customWidth="1"/>
    <col min="14664" max="14672" width="1.7109375" style="193" customWidth="1"/>
    <col min="14673" max="14848" width="9.140625" style="193"/>
    <col min="14849" max="14849" width="0.28515625" style="193" customWidth="1"/>
    <col min="14850" max="14858" width="1.7109375" style="193" customWidth="1"/>
    <col min="14859" max="14859" width="0.28515625" style="193" customWidth="1"/>
    <col min="14860" max="14868" width="1.7109375" style="193" customWidth="1"/>
    <col min="14869" max="14869" width="0.28515625" style="193" customWidth="1"/>
    <col min="14870" max="14878" width="1.7109375" style="193" customWidth="1"/>
    <col min="14879" max="14879" width="0.28515625" style="193" customWidth="1"/>
    <col min="14880" max="14888" width="1.7109375" style="193" customWidth="1"/>
    <col min="14889" max="14889" width="0.28515625" style="193" customWidth="1"/>
    <col min="14890" max="14898" width="1.7109375" style="193" customWidth="1"/>
    <col min="14899" max="14899" width="0.28515625" style="193" customWidth="1"/>
    <col min="14900" max="14908" width="1.7109375" style="193" customWidth="1"/>
    <col min="14909" max="14909" width="0.28515625" style="193" customWidth="1"/>
    <col min="14910" max="14918" width="1.7109375" style="193" customWidth="1"/>
    <col min="14919" max="14919" width="0.28515625" style="193" customWidth="1"/>
    <col min="14920" max="14928" width="1.7109375" style="193" customWidth="1"/>
    <col min="14929" max="15104" width="9.140625" style="193"/>
    <col min="15105" max="15105" width="0.28515625" style="193" customWidth="1"/>
    <col min="15106" max="15114" width="1.7109375" style="193" customWidth="1"/>
    <col min="15115" max="15115" width="0.28515625" style="193" customWidth="1"/>
    <col min="15116" max="15124" width="1.7109375" style="193" customWidth="1"/>
    <col min="15125" max="15125" width="0.28515625" style="193" customWidth="1"/>
    <col min="15126" max="15134" width="1.7109375" style="193" customWidth="1"/>
    <col min="15135" max="15135" width="0.28515625" style="193" customWidth="1"/>
    <col min="15136" max="15144" width="1.7109375" style="193" customWidth="1"/>
    <col min="15145" max="15145" width="0.28515625" style="193" customWidth="1"/>
    <col min="15146" max="15154" width="1.7109375" style="193" customWidth="1"/>
    <col min="15155" max="15155" width="0.28515625" style="193" customWidth="1"/>
    <col min="15156" max="15164" width="1.7109375" style="193" customWidth="1"/>
    <col min="15165" max="15165" width="0.28515625" style="193" customWidth="1"/>
    <col min="15166" max="15174" width="1.7109375" style="193" customWidth="1"/>
    <col min="15175" max="15175" width="0.28515625" style="193" customWidth="1"/>
    <col min="15176" max="15184" width="1.7109375" style="193" customWidth="1"/>
    <col min="15185" max="15360" width="9.140625" style="193"/>
    <col min="15361" max="15361" width="0.28515625" style="193" customWidth="1"/>
    <col min="15362" max="15370" width="1.7109375" style="193" customWidth="1"/>
    <col min="15371" max="15371" width="0.28515625" style="193" customWidth="1"/>
    <col min="15372" max="15380" width="1.7109375" style="193" customWidth="1"/>
    <col min="15381" max="15381" width="0.28515625" style="193" customWidth="1"/>
    <col min="15382" max="15390" width="1.7109375" style="193" customWidth="1"/>
    <col min="15391" max="15391" width="0.28515625" style="193" customWidth="1"/>
    <col min="15392" max="15400" width="1.7109375" style="193" customWidth="1"/>
    <col min="15401" max="15401" width="0.28515625" style="193" customWidth="1"/>
    <col min="15402" max="15410" width="1.7109375" style="193" customWidth="1"/>
    <col min="15411" max="15411" width="0.28515625" style="193" customWidth="1"/>
    <col min="15412" max="15420" width="1.7109375" style="193" customWidth="1"/>
    <col min="15421" max="15421" width="0.28515625" style="193" customWidth="1"/>
    <col min="15422" max="15430" width="1.7109375" style="193" customWidth="1"/>
    <col min="15431" max="15431" width="0.28515625" style="193" customWidth="1"/>
    <col min="15432" max="15440" width="1.7109375" style="193" customWidth="1"/>
    <col min="15441" max="15616" width="9.140625" style="193"/>
    <col min="15617" max="15617" width="0.28515625" style="193" customWidth="1"/>
    <col min="15618" max="15626" width="1.7109375" style="193" customWidth="1"/>
    <col min="15627" max="15627" width="0.28515625" style="193" customWidth="1"/>
    <col min="15628" max="15636" width="1.7109375" style="193" customWidth="1"/>
    <col min="15637" max="15637" width="0.28515625" style="193" customWidth="1"/>
    <col min="15638" max="15646" width="1.7109375" style="193" customWidth="1"/>
    <col min="15647" max="15647" width="0.28515625" style="193" customWidth="1"/>
    <col min="15648" max="15656" width="1.7109375" style="193" customWidth="1"/>
    <col min="15657" max="15657" width="0.28515625" style="193" customWidth="1"/>
    <col min="15658" max="15666" width="1.7109375" style="193" customWidth="1"/>
    <col min="15667" max="15667" width="0.28515625" style="193" customWidth="1"/>
    <col min="15668" max="15676" width="1.7109375" style="193" customWidth="1"/>
    <col min="15677" max="15677" width="0.28515625" style="193" customWidth="1"/>
    <col min="15678" max="15686" width="1.7109375" style="193" customWidth="1"/>
    <col min="15687" max="15687" width="0.28515625" style="193" customWidth="1"/>
    <col min="15688" max="15696" width="1.7109375" style="193" customWidth="1"/>
    <col min="15697" max="15872" width="9.140625" style="193"/>
    <col min="15873" max="15873" width="0.28515625" style="193" customWidth="1"/>
    <col min="15874" max="15882" width="1.7109375" style="193" customWidth="1"/>
    <col min="15883" max="15883" width="0.28515625" style="193" customWidth="1"/>
    <col min="15884" max="15892" width="1.7109375" style="193" customWidth="1"/>
    <col min="15893" max="15893" width="0.28515625" style="193" customWidth="1"/>
    <col min="15894" max="15902" width="1.7109375" style="193" customWidth="1"/>
    <col min="15903" max="15903" width="0.28515625" style="193" customWidth="1"/>
    <col min="15904" max="15912" width="1.7109375" style="193" customWidth="1"/>
    <col min="15913" max="15913" width="0.28515625" style="193" customWidth="1"/>
    <col min="15914" max="15922" width="1.7109375" style="193" customWidth="1"/>
    <col min="15923" max="15923" width="0.28515625" style="193" customWidth="1"/>
    <col min="15924" max="15932" width="1.7109375" style="193" customWidth="1"/>
    <col min="15933" max="15933" width="0.28515625" style="193" customWidth="1"/>
    <col min="15934" max="15942" width="1.7109375" style="193" customWidth="1"/>
    <col min="15943" max="15943" width="0.28515625" style="193" customWidth="1"/>
    <col min="15944" max="15952" width="1.7109375" style="193" customWidth="1"/>
    <col min="15953" max="16128" width="9.140625" style="193"/>
    <col min="16129" max="16129" width="0.28515625" style="193" customWidth="1"/>
    <col min="16130" max="16138" width="1.7109375" style="193" customWidth="1"/>
    <col min="16139" max="16139" width="0.28515625" style="193" customWidth="1"/>
    <col min="16140" max="16148" width="1.7109375" style="193" customWidth="1"/>
    <col min="16149" max="16149" width="0.28515625" style="193" customWidth="1"/>
    <col min="16150" max="16158" width="1.7109375" style="193" customWidth="1"/>
    <col min="16159" max="16159" width="0.28515625" style="193" customWidth="1"/>
    <col min="16160" max="16168" width="1.7109375" style="193" customWidth="1"/>
    <col min="16169" max="16169" width="0.28515625" style="193" customWidth="1"/>
    <col min="16170" max="16178" width="1.7109375" style="193" customWidth="1"/>
    <col min="16179" max="16179" width="0.28515625" style="193" customWidth="1"/>
    <col min="16180" max="16188" width="1.7109375" style="193" customWidth="1"/>
    <col min="16189" max="16189" width="0.28515625" style="193" customWidth="1"/>
    <col min="16190" max="16198" width="1.7109375" style="193" customWidth="1"/>
    <col min="16199" max="16199" width="0.28515625" style="193" customWidth="1"/>
    <col min="16200" max="16208" width="1.7109375" style="193" customWidth="1"/>
    <col min="16209" max="16384" width="9.140625" style="193"/>
  </cols>
  <sheetData>
    <row r="1" spans="1:71" s="15" customFormat="1" ht="90.95" customHeight="1" x14ac:dyDescent="0.25">
      <c r="B1" s="65"/>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G1" s="80"/>
      <c r="BH1" s="80"/>
      <c r="BI1" s="80"/>
      <c r="BJ1" s="481" t="s">
        <v>0</v>
      </c>
      <c r="BK1" s="481"/>
      <c r="BL1" s="481"/>
      <c r="BM1" s="456"/>
      <c r="BN1" s="481"/>
      <c r="BO1" s="481"/>
      <c r="BP1" s="481"/>
      <c r="BQ1" s="481"/>
      <c r="BR1" s="481"/>
      <c r="BS1" s="481"/>
    </row>
    <row r="2" spans="1:71" s="15" customFormat="1" ht="27" customHeight="1" x14ac:dyDescent="0.25">
      <c r="B2" s="537" t="s">
        <v>729</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207"/>
    </row>
    <row r="3" spans="1:71" ht="18" customHeight="1" x14ac:dyDescent="0.25">
      <c r="A3" s="208"/>
      <c r="B3" s="567">
        <v>1.9</v>
      </c>
      <c r="C3" s="568"/>
      <c r="D3" s="568"/>
      <c r="E3" s="568"/>
      <c r="F3" s="568"/>
      <c r="G3" s="568"/>
      <c r="H3" s="568"/>
      <c r="I3" s="568"/>
      <c r="J3" s="568"/>
      <c r="K3" s="209"/>
      <c r="L3" s="572" t="s">
        <v>669</v>
      </c>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3"/>
      <c r="BS3" s="192"/>
    </row>
    <row r="4" spans="1:71" ht="1.5" customHeight="1" x14ac:dyDescent="0.25">
      <c r="B4" s="196"/>
      <c r="C4" s="192"/>
      <c r="D4" s="192"/>
      <c r="E4" s="192"/>
      <c r="F4" s="192"/>
      <c r="G4" s="192"/>
      <c r="H4" s="192"/>
      <c r="I4" s="192"/>
      <c r="J4" s="192"/>
      <c r="K4" s="192"/>
      <c r="L4" s="192"/>
      <c r="M4" s="192"/>
      <c r="N4" s="192"/>
      <c r="O4" s="192"/>
      <c r="P4" s="192"/>
      <c r="Q4" s="192"/>
      <c r="R4" s="192"/>
      <c r="S4" s="192"/>
      <c r="T4" s="192"/>
      <c r="U4" s="192"/>
      <c r="AP4" s="197"/>
      <c r="AQ4" s="197"/>
      <c r="AR4" s="197"/>
      <c r="AS4" s="197"/>
      <c r="AT4" s="197"/>
      <c r="AU4" s="197"/>
      <c r="AV4" s="197"/>
      <c r="AW4" s="197"/>
      <c r="AX4" s="197"/>
      <c r="AZ4" s="192"/>
      <c r="BA4" s="192"/>
      <c r="BB4" s="192"/>
      <c r="BC4" s="192"/>
      <c r="BD4" s="192"/>
      <c r="BE4" s="192"/>
      <c r="BF4" s="192"/>
      <c r="BG4" s="192"/>
      <c r="BH4" s="192"/>
      <c r="BI4" s="192"/>
      <c r="BJ4" s="192"/>
      <c r="BK4" s="192"/>
      <c r="BL4" s="192"/>
      <c r="BM4" s="192"/>
      <c r="BN4" s="192"/>
      <c r="BO4" s="192"/>
      <c r="BP4" s="192"/>
      <c r="BQ4" s="192"/>
      <c r="BR4" s="198"/>
      <c r="BS4" s="192"/>
    </row>
    <row r="5" spans="1:71" s="211" customFormat="1" ht="9" customHeight="1" x14ac:dyDescent="0.25">
      <c r="B5" s="556" t="s">
        <v>564</v>
      </c>
      <c r="C5" s="557"/>
      <c r="D5" s="558"/>
      <c r="E5" s="571" t="s">
        <v>565</v>
      </c>
      <c r="F5" s="554"/>
      <c r="G5" s="554"/>
      <c r="H5" s="554"/>
      <c r="I5" s="554"/>
      <c r="J5" s="555"/>
      <c r="K5" s="212"/>
      <c r="L5" s="556" t="s">
        <v>566</v>
      </c>
      <c r="M5" s="557"/>
      <c r="N5" s="558"/>
      <c r="O5" s="571" t="s">
        <v>565</v>
      </c>
      <c r="P5" s="554"/>
      <c r="Q5" s="554"/>
      <c r="R5" s="554"/>
      <c r="S5" s="554"/>
      <c r="T5" s="555"/>
      <c r="U5" s="212"/>
      <c r="V5" s="556" t="s">
        <v>567</v>
      </c>
      <c r="W5" s="557"/>
      <c r="X5" s="558"/>
      <c r="Y5" s="571" t="s">
        <v>565</v>
      </c>
      <c r="Z5" s="554"/>
      <c r="AA5" s="554"/>
      <c r="AB5" s="554"/>
      <c r="AC5" s="554"/>
      <c r="AD5" s="555"/>
      <c r="AE5" s="213"/>
      <c r="AF5" s="556" t="s">
        <v>568</v>
      </c>
      <c r="AG5" s="557"/>
      <c r="AH5" s="558"/>
      <c r="AI5" s="571" t="s">
        <v>565</v>
      </c>
      <c r="AJ5" s="554"/>
      <c r="AK5" s="554"/>
      <c r="AL5" s="554"/>
      <c r="AM5" s="554"/>
      <c r="AN5" s="555"/>
      <c r="AO5" s="214"/>
      <c r="AP5" s="556" t="s">
        <v>569</v>
      </c>
      <c r="AQ5" s="557"/>
      <c r="AR5" s="558"/>
      <c r="AS5" s="571" t="s">
        <v>565</v>
      </c>
      <c r="AT5" s="554"/>
      <c r="AU5" s="554"/>
      <c r="AV5" s="554"/>
      <c r="AW5" s="554"/>
      <c r="AX5" s="555"/>
      <c r="AY5" s="212"/>
      <c r="AZ5" s="556" t="s">
        <v>570</v>
      </c>
      <c r="BA5" s="557"/>
      <c r="BB5" s="558"/>
      <c r="BC5" s="571" t="s">
        <v>565</v>
      </c>
      <c r="BD5" s="554"/>
      <c r="BE5" s="554"/>
      <c r="BF5" s="554"/>
      <c r="BG5" s="554"/>
      <c r="BH5" s="555"/>
      <c r="BI5" s="212"/>
      <c r="BJ5" s="556" t="s">
        <v>571</v>
      </c>
      <c r="BK5" s="557"/>
      <c r="BL5" s="558"/>
      <c r="BM5" s="571" t="s">
        <v>565</v>
      </c>
      <c r="BN5" s="554"/>
      <c r="BO5" s="554"/>
      <c r="BP5" s="554"/>
      <c r="BQ5" s="554"/>
      <c r="BR5" s="555"/>
    </row>
    <row r="6" spans="1:71" s="216" customFormat="1" ht="9" customHeight="1" x14ac:dyDescent="0.25">
      <c r="B6" s="546" t="s">
        <v>572</v>
      </c>
      <c r="C6" s="547"/>
      <c r="D6" s="547"/>
      <c r="E6" s="547"/>
      <c r="F6" s="547"/>
      <c r="G6" s="547"/>
      <c r="H6" s="547"/>
      <c r="I6" s="547"/>
      <c r="J6" s="548"/>
      <c r="K6" s="218"/>
      <c r="L6" s="546" t="s">
        <v>556</v>
      </c>
      <c r="M6" s="547"/>
      <c r="N6" s="547"/>
      <c r="O6" s="547"/>
      <c r="P6" s="547"/>
      <c r="Q6" s="547"/>
      <c r="R6" s="547"/>
      <c r="S6" s="547"/>
      <c r="T6" s="548"/>
      <c r="U6" s="219"/>
      <c r="V6" s="546" t="s">
        <v>556</v>
      </c>
      <c r="W6" s="547"/>
      <c r="X6" s="547"/>
      <c r="Y6" s="547"/>
      <c r="Z6" s="547"/>
      <c r="AA6" s="547"/>
      <c r="AB6" s="547"/>
      <c r="AC6" s="547"/>
      <c r="AD6" s="548"/>
      <c r="AE6" s="218"/>
      <c r="AF6" s="546" t="s">
        <v>556</v>
      </c>
      <c r="AG6" s="547"/>
      <c r="AH6" s="547"/>
      <c r="AI6" s="547"/>
      <c r="AJ6" s="547"/>
      <c r="AK6" s="547"/>
      <c r="AL6" s="547"/>
      <c r="AM6" s="547"/>
      <c r="AN6" s="548"/>
      <c r="AO6" s="219"/>
      <c r="AP6" s="546" t="s">
        <v>556</v>
      </c>
      <c r="AQ6" s="547"/>
      <c r="AR6" s="547"/>
      <c r="AS6" s="547"/>
      <c r="AT6" s="547"/>
      <c r="AU6" s="547"/>
      <c r="AV6" s="547"/>
      <c r="AW6" s="547"/>
      <c r="AX6" s="548"/>
      <c r="AY6" s="219"/>
      <c r="AZ6" s="546" t="s">
        <v>573</v>
      </c>
      <c r="BA6" s="547"/>
      <c r="BB6" s="547"/>
      <c r="BC6" s="547"/>
      <c r="BD6" s="547"/>
      <c r="BE6" s="547"/>
      <c r="BF6" s="547"/>
      <c r="BG6" s="547"/>
      <c r="BH6" s="548"/>
      <c r="BI6" s="219"/>
      <c r="BJ6" s="546" t="s">
        <v>574</v>
      </c>
      <c r="BK6" s="547"/>
      <c r="BL6" s="547"/>
      <c r="BM6" s="547"/>
      <c r="BN6" s="547"/>
      <c r="BO6" s="547"/>
      <c r="BP6" s="547"/>
      <c r="BQ6" s="547"/>
      <c r="BR6" s="548"/>
    </row>
    <row r="7" spans="1:71" s="211" customFormat="1" ht="9.75" customHeight="1" x14ac:dyDescent="0.25">
      <c r="A7" s="221"/>
      <c r="B7" s="546" t="s">
        <v>575</v>
      </c>
      <c r="C7" s="547"/>
      <c r="D7" s="547"/>
      <c r="E7" s="547"/>
      <c r="F7" s="547"/>
      <c r="G7" s="547"/>
      <c r="H7" s="547"/>
      <c r="I7" s="547"/>
      <c r="J7" s="548"/>
      <c r="K7" s="222"/>
      <c r="L7" s="546" t="s">
        <v>575</v>
      </c>
      <c r="M7" s="547"/>
      <c r="N7" s="547"/>
      <c r="O7" s="547"/>
      <c r="P7" s="547"/>
      <c r="Q7" s="547"/>
      <c r="R7" s="547"/>
      <c r="S7" s="547"/>
      <c r="T7" s="548"/>
      <c r="U7" s="214"/>
      <c r="V7" s="546" t="s">
        <v>575</v>
      </c>
      <c r="W7" s="547"/>
      <c r="X7" s="547"/>
      <c r="Y7" s="547"/>
      <c r="Z7" s="547"/>
      <c r="AA7" s="547"/>
      <c r="AB7" s="547"/>
      <c r="AC7" s="547"/>
      <c r="AD7" s="548"/>
      <c r="AE7" s="222"/>
      <c r="AF7" s="546" t="s">
        <v>575</v>
      </c>
      <c r="AG7" s="547"/>
      <c r="AH7" s="547"/>
      <c r="AI7" s="547"/>
      <c r="AJ7" s="547"/>
      <c r="AK7" s="547"/>
      <c r="AL7" s="547"/>
      <c r="AM7" s="547"/>
      <c r="AN7" s="548"/>
      <c r="AO7" s="214"/>
      <c r="AP7" s="546" t="s">
        <v>575</v>
      </c>
      <c r="AQ7" s="547"/>
      <c r="AR7" s="547"/>
      <c r="AS7" s="547"/>
      <c r="AT7" s="547"/>
      <c r="AU7" s="547"/>
      <c r="AV7" s="547"/>
      <c r="AW7" s="547"/>
      <c r="AX7" s="548"/>
      <c r="AY7" s="214"/>
      <c r="AZ7" s="546" t="s">
        <v>575</v>
      </c>
      <c r="BA7" s="547"/>
      <c r="BB7" s="547"/>
      <c r="BC7" s="547"/>
      <c r="BD7" s="547"/>
      <c r="BE7" s="547"/>
      <c r="BF7" s="547"/>
      <c r="BG7" s="547"/>
      <c r="BH7" s="548"/>
      <c r="BI7" s="214"/>
      <c r="BJ7" s="546" t="s">
        <v>575</v>
      </c>
      <c r="BK7" s="547"/>
      <c r="BL7" s="547"/>
      <c r="BM7" s="547"/>
      <c r="BN7" s="547"/>
      <c r="BO7" s="547"/>
      <c r="BP7" s="547"/>
      <c r="BQ7" s="547"/>
      <c r="BR7" s="548"/>
    </row>
    <row r="8" spans="1:71" s="211" customFormat="1" ht="11.25" customHeight="1" x14ac:dyDescent="0.25">
      <c r="A8" s="221"/>
      <c r="B8" s="212"/>
      <c r="C8" s="212"/>
      <c r="D8" s="212"/>
      <c r="E8" s="212"/>
      <c r="F8" s="212"/>
      <c r="G8" s="212"/>
      <c r="H8" s="212"/>
      <c r="I8" s="212"/>
      <c r="J8" s="214"/>
      <c r="K8" s="222"/>
      <c r="L8" s="212"/>
      <c r="M8" s="212"/>
      <c r="N8" s="212"/>
      <c r="O8" s="212"/>
      <c r="P8" s="212"/>
      <c r="Q8" s="212"/>
      <c r="R8" s="212"/>
      <c r="S8" s="212"/>
      <c r="T8" s="214"/>
      <c r="U8" s="214"/>
      <c r="V8" s="212"/>
      <c r="W8" s="212"/>
      <c r="X8" s="212"/>
      <c r="Y8" s="212"/>
      <c r="Z8" s="212"/>
      <c r="AA8" s="212"/>
      <c r="AB8" s="212"/>
      <c r="AC8" s="212"/>
      <c r="AD8" s="214"/>
      <c r="AE8" s="222"/>
      <c r="AF8" s="212"/>
      <c r="AG8" s="212"/>
      <c r="AH8" s="212"/>
      <c r="AI8" s="212"/>
      <c r="AJ8" s="212"/>
      <c r="AK8" s="212"/>
      <c r="AL8" s="212"/>
      <c r="AM8" s="212"/>
      <c r="AN8" s="214"/>
      <c r="AO8" s="214"/>
      <c r="AP8" s="212"/>
      <c r="AQ8" s="212"/>
      <c r="AR8" s="212"/>
      <c r="AS8" s="212"/>
      <c r="AT8" s="212"/>
      <c r="AU8" s="212"/>
      <c r="AV8" s="212"/>
      <c r="AW8" s="212"/>
      <c r="AX8" s="214"/>
      <c r="AY8" s="214"/>
      <c r="AZ8" s="212"/>
      <c r="BA8" s="212"/>
      <c r="BB8" s="212"/>
      <c r="BC8" s="212"/>
      <c r="BD8" s="212"/>
      <c r="BE8" s="212"/>
      <c r="BF8" s="212"/>
      <c r="BG8" s="212"/>
      <c r="BH8" s="214"/>
      <c r="BI8" s="214"/>
      <c r="BJ8" s="212"/>
      <c r="BK8" s="212"/>
      <c r="BL8" s="212"/>
      <c r="BM8" s="212"/>
      <c r="BN8" s="212"/>
      <c r="BO8" s="212"/>
      <c r="BP8" s="212"/>
      <c r="BQ8" s="212"/>
      <c r="BR8" s="214"/>
    </row>
    <row r="9" spans="1:71" s="211" customFormat="1" ht="9" customHeight="1" x14ac:dyDescent="0.25">
      <c r="A9" s="221"/>
      <c r="B9" s="212"/>
      <c r="C9" s="212"/>
      <c r="D9" s="212"/>
      <c r="E9" s="212"/>
      <c r="F9" s="212"/>
      <c r="G9" s="212"/>
      <c r="H9" s="212"/>
      <c r="I9" s="212"/>
      <c r="J9" s="214"/>
      <c r="K9" s="222"/>
      <c r="L9" s="212"/>
      <c r="M9" s="212"/>
      <c r="N9" s="212"/>
      <c r="O9" s="212"/>
      <c r="P9" s="212"/>
      <c r="Q9" s="212"/>
      <c r="R9" s="212"/>
      <c r="S9" s="212"/>
      <c r="T9" s="214"/>
      <c r="U9" s="214"/>
      <c r="V9" s="212"/>
      <c r="W9" s="212"/>
      <c r="X9" s="212"/>
      <c r="Y9" s="212"/>
      <c r="Z9" s="212"/>
      <c r="AA9" s="212"/>
      <c r="AB9" s="212"/>
      <c r="AC9" s="212"/>
      <c r="AD9" s="214"/>
      <c r="AE9" s="222"/>
      <c r="AF9" s="212"/>
      <c r="AG9" s="212"/>
      <c r="AH9" s="212"/>
      <c r="AI9" s="212"/>
      <c r="AJ9" s="212"/>
      <c r="AK9" s="212"/>
      <c r="AL9" s="212"/>
      <c r="AM9" s="212"/>
      <c r="AN9" s="214"/>
      <c r="AO9" s="214"/>
      <c r="AP9" s="212"/>
      <c r="AQ9" s="212"/>
      <c r="AR9" s="212"/>
      <c r="AS9" s="212"/>
      <c r="AT9" s="212"/>
      <c r="AU9" s="212"/>
      <c r="AV9" s="212"/>
      <c r="AW9" s="212"/>
      <c r="AX9" s="214"/>
      <c r="AY9" s="214"/>
      <c r="AZ9" s="212"/>
      <c r="BA9" s="212"/>
      <c r="BB9" s="212"/>
      <c r="BC9" s="212"/>
      <c r="BD9" s="212"/>
      <c r="BE9" s="212"/>
      <c r="BF9" s="212"/>
      <c r="BG9" s="212"/>
      <c r="BH9" s="214"/>
      <c r="BI9" s="214"/>
      <c r="BJ9" s="212"/>
      <c r="BK9" s="212"/>
      <c r="BL9" s="212"/>
      <c r="BM9" s="212"/>
      <c r="BN9" s="212"/>
      <c r="BO9" s="212"/>
      <c r="BP9" s="212"/>
      <c r="BQ9" s="212"/>
      <c r="BR9" s="214"/>
    </row>
    <row r="10" spans="1:71" s="211" customFormat="1" ht="9" customHeight="1" x14ac:dyDescent="0.25">
      <c r="A10" s="221"/>
      <c r="B10" s="212"/>
      <c r="C10" s="212"/>
      <c r="D10" s="212"/>
      <c r="E10" s="212"/>
      <c r="F10" s="212"/>
      <c r="G10" s="212"/>
      <c r="H10" s="212"/>
      <c r="I10" s="212"/>
      <c r="J10" s="214"/>
      <c r="K10" s="222"/>
      <c r="L10" s="212"/>
      <c r="M10" s="212"/>
      <c r="N10" s="212"/>
      <c r="O10" s="212"/>
      <c r="P10" s="212"/>
      <c r="Q10" s="212"/>
      <c r="R10" s="212"/>
      <c r="S10" s="212"/>
      <c r="T10" s="214"/>
      <c r="U10" s="214"/>
      <c r="V10" s="212"/>
      <c r="W10" s="212"/>
      <c r="X10" s="212"/>
      <c r="Y10" s="212"/>
      <c r="Z10" s="212"/>
      <c r="AA10" s="212"/>
      <c r="AB10" s="212"/>
      <c r="AC10" s="212"/>
      <c r="AD10" s="214"/>
      <c r="AE10" s="222"/>
      <c r="AF10" s="212"/>
      <c r="AG10" s="212"/>
      <c r="AH10" s="212"/>
      <c r="AI10" s="212"/>
      <c r="AJ10" s="212"/>
      <c r="AK10" s="212"/>
      <c r="AL10" s="212"/>
      <c r="AM10" s="212"/>
      <c r="AN10" s="214"/>
      <c r="AO10" s="214"/>
      <c r="AP10" s="212"/>
      <c r="AQ10" s="212"/>
      <c r="AR10" s="212"/>
      <c r="AS10" s="212"/>
      <c r="AT10" s="212"/>
      <c r="AU10" s="212"/>
      <c r="AV10" s="212"/>
      <c r="AW10" s="212"/>
      <c r="AX10" s="214"/>
      <c r="AY10" s="222"/>
      <c r="AZ10" s="212"/>
      <c r="BA10" s="212"/>
      <c r="BB10" s="212"/>
      <c r="BC10" s="212"/>
      <c r="BD10" s="212"/>
      <c r="BE10" s="212"/>
      <c r="BF10" s="212"/>
      <c r="BG10" s="212"/>
      <c r="BH10" s="214"/>
      <c r="BI10" s="222"/>
      <c r="BJ10" s="212"/>
      <c r="BK10" s="212"/>
      <c r="BL10" s="212"/>
      <c r="BM10" s="212"/>
      <c r="BN10" s="212"/>
      <c r="BO10" s="212"/>
      <c r="BP10" s="212"/>
      <c r="BQ10" s="212"/>
      <c r="BR10" s="214"/>
    </row>
    <row r="11" spans="1:71" s="211" customFormat="1" ht="9.75" customHeight="1" x14ac:dyDescent="0.25">
      <c r="A11" s="221"/>
      <c r="B11" s="212"/>
      <c r="C11" s="212"/>
      <c r="D11" s="212"/>
      <c r="E11" s="212"/>
      <c r="F11" s="212"/>
      <c r="G11" s="212"/>
      <c r="H11" s="212"/>
      <c r="I11" s="212"/>
      <c r="J11" s="214"/>
      <c r="K11" s="222"/>
      <c r="L11" s="212"/>
      <c r="M11" s="212"/>
      <c r="N11" s="212"/>
      <c r="O11" s="212"/>
      <c r="P11" s="212"/>
      <c r="Q11" s="212"/>
      <c r="R11" s="212"/>
      <c r="S11" s="212"/>
      <c r="T11" s="214"/>
      <c r="U11" s="214"/>
      <c r="V11" s="212"/>
      <c r="W11" s="212"/>
      <c r="X11" s="212"/>
      <c r="Y11" s="212"/>
      <c r="Z11" s="212"/>
      <c r="AA11" s="212"/>
      <c r="AB11" s="212"/>
      <c r="AC11" s="212"/>
      <c r="AD11" s="214"/>
      <c r="AE11" s="222"/>
      <c r="AF11" s="212"/>
      <c r="AG11" s="212"/>
      <c r="AH11" s="212"/>
      <c r="AI11" s="212"/>
      <c r="AJ11" s="212"/>
      <c r="AK11" s="212"/>
      <c r="AL11" s="212"/>
      <c r="AM11" s="212"/>
      <c r="AN11" s="214"/>
      <c r="AO11" s="214"/>
      <c r="AP11" s="212"/>
      <c r="AQ11" s="212"/>
      <c r="AR11" s="212"/>
      <c r="AS11" s="212"/>
      <c r="AT11" s="212"/>
      <c r="AU11" s="212"/>
      <c r="AV11" s="212"/>
      <c r="AW11" s="212"/>
      <c r="AX11" s="214"/>
      <c r="AY11" s="222"/>
      <c r="AZ11" s="212"/>
      <c r="BA11" s="212"/>
      <c r="BB11" s="212"/>
      <c r="BC11" s="212"/>
      <c r="BD11" s="212"/>
      <c r="BE11" s="212"/>
      <c r="BF11" s="212"/>
      <c r="BG11" s="212"/>
      <c r="BH11" s="214"/>
      <c r="BI11" s="222"/>
      <c r="BJ11" s="212"/>
      <c r="BK11" s="212"/>
      <c r="BL11" s="212"/>
      <c r="BM11" s="212"/>
      <c r="BN11" s="212"/>
      <c r="BO11" s="212"/>
      <c r="BP11" s="212"/>
      <c r="BQ11" s="212"/>
      <c r="BR11" s="214"/>
    </row>
    <row r="12" spans="1:71" s="211" customFormat="1" ht="9.75" customHeight="1" x14ac:dyDescent="0.25">
      <c r="A12" s="221"/>
      <c r="B12" s="212"/>
      <c r="C12" s="212"/>
      <c r="D12" s="212"/>
      <c r="E12" s="212"/>
      <c r="F12" s="212"/>
      <c r="G12" s="212"/>
      <c r="H12" s="212"/>
      <c r="I12" s="212"/>
      <c r="J12" s="214"/>
      <c r="K12" s="222"/>
      <c r="L12" s="212"/>
      <c r="M12" s="212"/>
      <c r="N12" s="212"/>
      <c r="O12" s="212"/>
      <c r="P12" s="212"/>
      <c r="Q12" s="212"/>
      <c r="R12" s="212"/>
      <c r="S12" s="212"/>
      <c r="T12" s="214"/>
      <c r="U12" s="214"/>
      <c r="V12" s="212"/>
      <c r="W12" s="212"/>
      <c r="X12" s="212"/>
      <c r="Y12" s="212"/>
      <c r="Z12" s="212"/>
      <c r="AA12" s="212"/>
      <c r="AB12" s="212"/>
      <c r="AC12" s="212"/>
      <c r="AD12" s="214"/>
      <c r="AE12" s="222"/>
      <c r="AF12" s="212"/>
      <c r="AG12" s="212"/>
      <c r="AH12" s="212"/>
      <c r="AI12" s="212"/>
      <c r="AJ12" s="212"/>
      <c r="AK12" s="212"/>
      <c r="AL12" s="212"/>
      <c r="AM12" s="212"/>
      <c r="AN12" s="214"/>
      <c r="AO12" s="214"/>
      <c r="AP12" s="212"/>
      <c r="AQ12" s="212"/>
      <c r="AR12" s="212"/>
      <c r="AS12" s="212"/>
      <c r="AT12" s="212"/>
      <c r="AU12" s="212"/>
      <c r="AV12" s="212"/>
      <c r="AW12" s="212"/>
      <c r="AX12" s="214"/>
      <c r="AY12" s="222"/>
      <c r="AZ12" s="212"/>
      <c r="BA12" s="212"/>
      <c r="BB12" s="212"/>
      <c r="BC12" s="212"/>
      <c r="BD12" s="212"/>
      <c r="BE12" s="212"/>
      <c r="BF12" s="212"/>
      <c r="BG12" s="212"/>
      <c r="BH12" s="214"/>
      <c r="BI12" s="222"/>
      <c r="BJ12" s="212"/>
      <c r="BK12" s="212"/>
      <c r="BL12" s="212"/>
      <c r="BM12" s="212"/>
      <c r="BN12" s="212"/>
      <c r="BO12" s="212"/>
      <c r="BP12" s="212"/>
      <c r="BQ12" s="212"/>
      <c r="BR12" s="214"/>
    </row>
    <row r="13" spans="1:71" s="211" customFormat="1" ht="9.75" customHeight="1" x14ac:dyDescent="0.25">
      <c r="A13" s="221"/>
      <c r="B13" s="212"/>
      <c r="C13" s="212"/>
      <c r="D13" s="212"/>
      <c r="E13" s="212"/>
      <c r="F13" s="212"/>
      <c r="G13" s="212"/>
      <c r="H13" s="212"/>
      <c r="I13" s="212"/>
      <c r="J13" s="214"/>
      <c r="K13" s="222"/>
      <c r="L13" s="212"/>
      <c r="M13" s="212"/>
      <c r="N13" s="212"/>
      <c r="O13" s="212"/>
      <c r="P13" s="212"/>
      <c r="Q13" s="212"/>
      <c r="R13" s="212"/>
      <c r="S13" s="212"/>
      <c r="T13" s="214"/>
      <c r="U13" s="214"/>
      <c r="V13" s="212"/>
      <c r="W13" s="212"/>
      <c r="X13" s="212"/>
      <c r="Y13" s="212"/>
      <c r="Z13" s="212"/>
      <c r="AA13" s="212"/>
      <c r="AB13" s="212"/>
      <c r="AC13" s="212"/>
      <c r="AD13" s="214"/>
      <c r="AE13" s="222"/>
      <c r="AF13" s="212"/>
      <c r="AG13" s="212"/>
      <c r="AH13" s="212"/>
      <c r="AI13" s="212"/>
      <c r="AJ13" s="212"/>
      <c r="AK13" s="212"/>
      <c r="AL13" s="212"/>
      <c r="AM13" s="212"/>
      <c r="AN13" s="214"/>
      <c r="AO13" s="214"/>
      <c r="AP13" s="212"/>
      <c r="AQ13" s="212"/>
      <c r="AR13" s="212"/>
      <c r="AS13" s="212"/>
      <c r="AT13" s="212"/>
      <c r="AU13" s="212"/>
      <c r="AV13" s="212"/>
      <c r="AW13" s="212"/>
      <c r="AX13" s="214"/>
      <c r="AY13" s="222"/>
      <c r="AZ13" s="212"/>
      <c r="BA13" s="212"/>
      <c r="BB13" s="212"/>
      <c r="BC13" s="212"/>
      <c r="BD13" s="212"/>
      <c r="BE13" s="212"/>
      <c r="BF13" s="212"/>
      <c r="BG13" s="212"/>
      <c r="BH13" s="214"/>
      <c r="BI13" s="222"/>
      <c r="BJ13" s="212"/>
      <c r="BK13" s="212"/>
      <c r="BL13" s="212"/>
      <c r="BM13" s="212"/>
      <c r="BN13" s="212"/>
      <c r="BO13" s="212"/>
      <c r="BP13" s="212"/>
      <c r="BQ13" s="212"/>
      <c r="BR13" s="214"/>
    </row>
    <row r="14" spans="1:71" s="211" customFormat="1" ht="9.75" customHeight="1" x14ac:dyDescent="0.25">
      <c r="A14" s="221"/>
      <c r="B14" s="212"/>
      <c r="C14" s="212"/>
      <c r="D14" s="212"/>
      <c r="E14" s="212"/>
      <c r="F14" s="212"/>
      <c r="G14" s="212"/>
      <c r="H14" s="212"/>
      <c r="I14" s="212"/>
      <c r="J14" s="214"/>
      <c r="K14" s="222"/>
      <c r="L14" s="212"/>
      <c r="M14" s="212"/>
      <c r="N14" s="212"/>
      <c r="O14" s="212"/>
      <c r="P14" s="212"/>
      <c r="Q14" s="212"/>
      <c r="R14" s="212"/>
      <c r="S14" s="212"/>
      <c r="T14" s="214"/>
      <c r="U14" s="214"/>
      <c r="V14" s="212"/>
      <c r="W14" s="212"/>
      <c r="X14" s="212"/>
      <c r="Y14" s="212"/>
      <c r="Z14" s="212"/>
      <c r="AA14" s="212"/>
      <c r="AB14" s="212"/>
      <c r="AC14" s="212"/>
      <c r="AD14" s="214"/>
      <c r="AE14" s="222"/>
      <c r="AF14" s="212"/>
      <c r="AG14" s="212"/>
      <c r="AH14" s="212"/>
      <c r="AI14" s="212"/>
      <c r="AJ14" s="212"/>
      <c r="AK14" s="212"/>
      <c r="AL14" s="212"/>
      <c r="AM14" s="212"/>
      <c r="AN14" s="214"/>
      <c r="AO14" s="214"/>
      <c r="AP14" s="212"/>
      <c r="AQ14" s="212"/>
      <c r="AR14" s="212"/>
      <c r="AS14" s="212"/>
      <c r="AT14" s="212"/>
      <c r="AU14" s="212"/>
      <c r="AV14" s="212"/>
      <c r="AW14" s="212"/>
      <c r="AX14" s="214"/>
      <c r="AY14" s="222"/>
      <c r="AZ14" s="212"/>
      <c r="BA14" s="212"/>
      <c r="BB14" s="212"/>
      <c r="BC14" s="212"/>
      <c r="BD14" s="212"/>
      <c r="BE14" s="212"/>
      <c r="BF14" s="212"/>
      <c r="BG14" s="212"/>
      <c r="BH14" s="214"/>
      <c r="BI14" s="222"/>
      <c r="BJ14" s="212"/>
      <c r="BK14" s="212"/>
      <c r="BL14" s="212"/>
      <c r="BM14" s="212"/>
      <c r="BN14" s="212"/>
      <c r="BO14" s="212"/>
      <c r="BP14" s="212"/>
      <c r="BQ14" s="212"/>
      <c r="BR14" s="214"/>
    </row>
    <row r="15" spans="1:71" s="211" customFormat="1" ht="9" customHeight="1" x14ac:dyDescent="0.25">
      <c r="A15" s="221"/>
      <c r="B15" s="224"/>
      <c r="C15" s="224"/>
      <c r="D15" s="224"/>
      <c r="E15" s="224"/>
      <c r="F15" s="224"/>
      <c r="G15" s="224"/>
      <c r="H15" s="224"/>
      <c r="I15" s="224"/>
      <c r="J15" s="225"/>
      <c r="K15" s="222"/>
      <c r="L15" s="224"/>
      <c r="M15" s="224"/>
      <c r="N15" s="224"/>
      <c r="O15" s="224"/>
      <c r="P15" s="224"/>
      <c r="Q15" s="224"/>
      <c r="R15" s="224"/>
      <c r="S15" s="224"/>
      <c r="T15" s="225"/>
      <c r="U15" s="214"/>
      <c r="V15" s="224"/>
      <c r="W15" s="224"/>
      <c r="X15" s="224"/>
      <c r="Y15" s="224"/>
      <c r="Z15" s="224"/>
      <c r="AA15" s="224"/>
      <c r="AB15" s="224"/>
      <c r="AC15" s="224"/>
      <c r="AD15" s="225"/>
      <c r="AE15" s="226"/>
      <c r="AF15" s="224"/>
      <c r="AG15" s="224"/>
      <c r="AH15" s="224"/>
      <c r="AI15" s="224"/>
      <c r="AJ15" s="224"/>
      <c r="AK15" s="224"/>
      <c r="AL15" s="224"/>
      <c r="AM15" s="224"/>
      <c r="AN15" s="225"/>
      <c r="AO15" s="225"/>
      <c r="AP15" s="224"/>
      <c r="AQ15" s="224"/>
      <c r="AR15" s="224"/>
      <c r="AS15" s="224"/>
      <c r="AT15" s="224"/>
      <c r="AU15" s="224"/>
      <c r="AV15" s="224"/>
      <c r="AW15" s="224"/>
      <c r="AX15" s="225"/>
      <c r="AY15" s="222"/>
      <c r="AZ15" s="224"/>
      <c r="BA15" s="224"/>
      <c r="BB15" s="224"/>
      <c r="BC15" s="224"/>
      <c r="BD15" s="224"/>
      <c r="BE15" s="224"/>
      <c r="BF15" s="224"/>
      <c r="BG15" s="224"/>
      <c r="BH15" s="225"/>
      <c r="BI15" s="222"/>
      <c r="BJ15" s="224"/>
      <c r="BK15" s="224"/>
      <c r="BL15" s="224"/>
      <c r="BM15" s="224"/>
      <c r="BN15" s="224"/>
      <c r="BO15" s="224"/>
      <c r="BP15" s="224"/>
      <c r="BQ15" s="224"/>
      <c r="BR15" s="225"/>
    </row>
    <row r="16" spans="1:71" s="211" customFormat="1" ht="9" customHeight="1" x14ac:dyDescent="0.25">
      <c r="B16" s="213"/>
      <c r="C16" s="212"/>
      <c r="D16" s="212"/>
      <c r="E16" s="212"/>
      <c r="F16" s="212"/>
      <c r="G16" s="212"/>
      <c r="H16" s="212"/>
      <c r="I16" s="212"/>
      <c r="J16" s="214"/>
      <c r="K16" s="222"/>
      <c r="L16" s="212"/>
      <c r="M16" s="212"/>
      <c r="N16" s="212"/>
      <c r="O16" s="212"/>
      <c r="P16" s="212"/>
      <c r="Q16" s="212"/>
      <c r="R16" s="212"/>
      <c r="S16" s="212"/>
      <c r="T16" s="214"/>
      <c r="U16" s="214"/>
      <c r="V16" s="212"/>
      <c r="W16" s="212"/>
      <c r="X16" s="212"/>
      <c r="Y16" s="212"/>
      <c r="Z16" s="212"/>
      <c r="AA16" s="212"/>
      <c r="AB16" s="212"/>
      <c r="AC16" s="212"/>
      <c r="AD16" s="214"/>
      <c r="AE16" s="222"/>
      <c r="AF16" s="212"/>
      <c r="AG16" s="212"/>
      <c r="AH16" s="212"/>
      <c r="AI16" s="212"/>
      <c r="AJ16" s="212"/>
      <c r="AK16" s="212"/>
      <c r="AL16" s="212"/>
      <c r="AM16" s="212"/>
      <c r="AN16" s="214"/>
      <c r="AO16" s="214"/>
      <c r="AP16" s="212"/>
      <c r="AQ16" s="212"/>
      <c r="AR16" s="212"/>
      <c r="AS16" s="212"/>
      <c r="AT16" s="212"/>
      <c r="AU16" s="212"/>
      <c r="AV16" s="212"/>
      <c r="AW16" s="212"/>
      <c r="AX16" s="214"/>
      <c r="AY16" s="222"/>
      <c r="AZ16" s="212"/>
      <c r="BA16" s="212"/>
      <c r="BB16" s="212"/>
      <c r="BC16" s="212"/>
      <c r="BD16" s="212"/>
      <c r="BE16" s="212"/>
      <c r="BF16" s="212"/>
      <c r="BG16" s="212"/>
      <c r="BH16" s="214"/>
      <c r="BI16" s="222"/>
      <c r="BJ16" s="212"/>
      <c r="BK16" s="212"/>
      <c r="BL16" s="212"/>
      <c r="BM16" s="212"/>
      <c r="BN16" s="212"/>
      <c r="BO16" s="212"/>
      <c r="BP16" s="212"/>
      <c r="BQ16" s="212"/>
      <c r="BR16" s="214"/>
    </row>
    <row r="17" spans="1:70" s="211" customFormat="1" ht="9" customHeight="1" x14ac:dyDescent="0.25">
      <c r="B17" s="543" t="s">
        <v>576</v>
      </c>
      <c r="C17" s="543"/>
      <c r="D17" s="543"/>
      <c r="E17" s="543"/>
      <c r="F17" s="543"/>
      <c r="G17" s="542">
        <f>CEILING(4540*B3,1)</f>
        <v>8626</v>
      </c>
      <c r="H17" s="542"/>
      <c r="I17" s="542"/>
      <c r="J17" s="542"/>
      <c r="K17" s="200"/>
      <c r="L17" s="543" t="s">
        <v>576</v>
      </c>
      <c r="M17" s="543"/>
      <c r="N17" s="543"/>
      <c r="O17" s="543"/>
      <c r="P17" s="543"/>
      <c r="Q17" s="542">
        <f>CEILING(4649*B3,1)</f>
        <v>8834</v>
      </c>
      <c r="R17" s="542"/>
      <c r="S17" s="542"/>
      <c r="T17" s="542"/>
      <c r="U17" s="200"/>
      <c r="V17" s="543" t="s">
        <v>576</v>
      </c>
      <c r="W17" s="543"/>
      <c r="X17" s="543"/>
      <c r="Y17" s="543"/>
      <c r="Z17" s="543"/>
      <c r="AA17" s="542">
        <f>CEILING(4649*B3,1)</f>
        <v>8834</v>
      </c>
      <c r="AB17" s="542"/>
      <c r="AC17" s="542"/>
      <c r="AD17" s="542"/>
      <c r="AE17" s="200"/>
      <c r="AF17" s="543" t="s">
        <v>576</v>
      </c>
      <c r="AG17" s="543"/>
      <c r="AH17" s="543"/>
      <c r="AI17" s="543"/>
      <c r="AJ17" s="543"/>
      <c r="AK17" s="542">
        <f>CEILING(4649*B3,1)</f>
        <v>8834</v>
      </c>
      <c r="AL17" s="542"/>
      <c r="AM17" s="542"/>
      <c r="AN17" s="542"/>
      <c r="AO17" s="200"/>
      <c r="AP17" s="543" t="s">
        <v>576</v>
      </c>
      <c r="AQ17" s="543"/>
      <c r="AR17" s="543"/>
      <c r="AS17" s="543"/>
      <c r="AT17" s="543"/>
      <c r="AU17" s="542">
        <f>CEILING(4649*B3,1)</f>
        <v>8834</v>
      </c>
      <c r="AV17" s="542"/>
      <c r="AW17" s="542"/>
      <c r="AX17" s="542"/>
      <c r="AY17" s="200"/>
      <c r="AZ17" s="543" t="s">
        <v>577</v>
      </c>
      <c r="BA17" s="543"/>
      <c r="BB17" s="543"/>
      <c r="BC17" s="543"/>
      <c r="BD17" s="543"/>
      <c r="BE17" s="542">
        <f>CEILING(4649*B3,1)</f>
        <v>8834</v>
      </c>
      <c r="BF17" s="542"/>
      <c r="BG17" s="542"/>
      <c r="BH17" s="542"/>
      <c r="BI17" s="200"/>
      <c r="BJ17" s="543" t="s">
        <v>578</v>
      </c>
      <c r="BK17" s="543"/>
      <c r="BL17" s="543"/>
      <c r="BM17" s="543"/>
      <c r="BN17" s="543"/>
      <c r="BO17" s="542">
        <f>CEILING(5504*B3,1)</f>
        <v>10458</v>
      </c>
      <c r="BP17" s="542"/>
      <c r="BQ17" s="542"/>
      <c r="BR17" s="542"/>
    </row>
    <row r="18" spans="1:70" s="211" customFormat="1" ht="1.5" customHeight="1" x14ac:dyDescent="0.25">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27"/>
      <c r="Z18" s="227"/>
      <c r="AA18" s="227"/>
      <c r="AB18" s="227"/>
      <c r="AC18" s="227"/>
      <c r="AD18" s="227"/>
      <c r="AE18" s="212"/>
      <c r="AF18" s="212"/>
      <c r="AG18" s="212"/>
      <c r="AH18" s="212"/>
      <c r="AI18" s="212"/>
      <c r="AJ18" s="212"/>
      <c r="AK18" s="212"/>
      <c r="AL18" s="212"/>
      <c r="AM18" s="212"/>
      <c r="AN18" s="212"/>
      <c r="AO18" s="212"/>
      <c r="AP18" s="212"/>
      <c r="AQ18" s="227"/>
      <c r="AR18" s="227"/>
      <c r="AS18" s="227"/>
      <c r="AT18" s="227"/>
      <c r="AU18" s="227"/>
      <c r="AV18" s="227"/>
      <c r="AW18" s="227"/>
      <c r="AX18" s="227"/>
      <c r="AY18" s="212"/>
      <c r="AZ18" s="212"/>
      <c r="BA18" s="212"/>
      <c r="BB18" s="212"/>
      <c r="BC18" s="212"/>
      <c r="BD18" s="212"/>
      <c r="BE18" s="212"/>
      <c r="BF18" s="212"/>
      <c r="BG18" s="212"/>
      <c r="BH18" s="212"/>
      <c r="BI18" s="212"/>
      <c r="BJ18" s="212"/>
      <c r="BK18" s="212"/>
      <c r="BL18" s="212"/>
      <c r="BM18" s="212"/>
      <c r="BN18" s="212"/>
      <c r="BO18" s="212"/>
      <c r="BP18" s="212"/>
      <c r="BQ18" s="212"/>
      <c r="BR18" s="212"/>
    </row>
    <row r="19" spans="1:70" s="211" customFormat="1" ht="9" customHeight="1" x14ac:dyDescent="0.25">
      <c r="B19" s="556" t="s">
        <v>579</v>
      </c>
      <c r="C19" s="557"/>
      <c r="D19" s="558"/>
      <c r="E19" s="571" t="s">
        <v>565</v>
      </c>
      <c r="F19" s="554"/>
      <c r="G19" s="554"/>
      <c r="H19" s="554"/>
      <c r="I19" s="554"/>
      <c r="J19" s="555"/>
      <c r="K19" s="212"/>
      <c r="L19" s="556" t="s">
        <v>580</v>
      </c>
      <c r="M19" s="557"/>
      <c r="N19" s="558"/>
      <c r="O19" s="571" t="s">
        <v>565</v>
      </c>
      <c r="P19" s="554"/>
      <c r="Q19" s="554"/>
      <c r="R19" s="554"/>
      <c r="S19" s="554"/>
      <c r="T19" s="555"/>
      <c r="U19" s="212"/>
      <c r="V19" s="556" t="s">
        <v>581</v>
      </c>
      <c r="W19" s="557"/>
      <c r="X19" s="558"/>
      <c r="Y19" s="571" t="s">
        <v>582</v>
      </c>
      <c r="Z19" s="554"/>
      <c r="AA19" s="554"/>
      <c r="AB19" s="554"/>
      <c r="AC19" s="554"/>
      <c r="AD19" s="555"/>
      <c r="AE19" s="212"/>
      <c r="AF19" s="556" t="s">
        <v>583</v>
      </c>
      <c r="AG19" s="557"/>
      <c r="AH19" s="558"/>
      <c r="AI19" s="571" t="s">
        <v>582</v>
      </c>
      <c r="AJ19" s="554"/>
      <c r="AK19" s="554"/>
      <c r="AL19" s="554"/>
      <c r="AM19" s="554"/>
      <c r="AN19" s="555"/>
      <c r="AO19" s="212"/>
      <c r="AP19" s="556" t="s">
        <v>584</v>
      </c>
      <c r="AQ19" s="557"/>
      <c r="AR19" s="558"/>
      <c r="AS19" s="571" t="s">
        <v>582</v>
      </c>
      <c r="AT19" s="554"/>
      <c r="AU19" s="554"/>
      <c r="AV19" s="554"/>
      <c r="AW19" s="554"/>
      <c r="AX19" s="555"/>
      <c r="AY19" s="212"/>
      <c r="AZ19" s="556" t="s">
        <v>585</v>
      </c>
      <c r="BA19" s="557"/>
      <c r="BB19" s="558"/>
      <c r="BC19" s="571" t="s">
        <v>582</v>
      </c>
      <c r="BD19" s="554"/>
      <c r="BE19" s="554"/>
      <c r="BF19" s="554"/>
      <c r="BG19" s="554"/>
      <c r="BH19" s="555"/>
      <c r="BI19" s="212"/>
      <c r="BJ19" s="556" t="s">
        <v>586</v>
      </c>
      <c r="BK19" s="557"/>
      <c r="BL19" s="558"/>
      <c r="BM19" s="571" t="s">
        <v>582</v>
      </c>
      <c r="BN19" s="554"/>
      <c r="BO19" s="554"/>
      <c r="BP19" s="554"/>
      <c r="BQ19" s="554"/>
      <c r="BR19" s="555"/>
    </row>
    <row r="20" spans="1:70" s="216" customFormat="1" ht="9" customHeight="1" x14ac:dyDescent="0.25">
      <c r="B20" s="546" t="s">
        <v>587</v>
      </c>
      <c r="C20" s="547"/>
      <c r="D20" s="547"/>
      <c r="E20" s="547"/>
      <c r="F20" s="547"/>
      <c r="G20" s="547"/>
      <c r="H20" s="547"/>
      <c r="I20" s="547"/>
      <c r="J20" s="548"/>
      <c r="K20" s="218"/>
      <c r="L20" s="546" t="s">
        <v>575</v>
      </c>
      <c r="M20" s="547"/>
      <c r="N20" s="547"/>
      <c r="O20" s="547"/>
      <c r="P20" s="547"/>
      <c r="Q20" s="547"/>
      <c r="R20" s="547"/>
      <c r="S20" s="547"/>
      <c r="T20" s="548"/>
      <c r="U20" s="228"/>
      <c r="V20" s="217"/>
      <c r="W20" s="218"/>
      <c r="X20" s="218"/>
      <c r="Y20" s="218"/>
      <c r="Z20" s="218"/>
      <c r="AA20" s="218"/>
      <c r="AB20" s="218"/>
      <c r="AC20" s="218"/>
      <c r="AD20" s="219"/>
      <c r="AE20" s="218"/>
      <c r="AF20" s="546" t="s">
        <v>574</v>
      </c>
      <c r="AG20" s="547"/>
      <c r="AH20" s="547"/>
      <c r="AI20" s="547"/>
      <c r="AJ20" s="547"/>
      <c r="AK20" s="547"/>
      <c r="AL20" s="547"/>
      <c r="AM20" s="547"/>
      <c r="AN20" s="548"/>
      <c r="AO20" s="228"/>
      <c r="AP20" s="546" t="s">
        <v>588</v>
      </c>
      <c r="AQ20" s="547"/>
      <c r="AR20" s="547"/>
      <c r="AS20" s="547"/>
      <c r="AT20" s="547"/>
      <c r="AU20" s="547"/>
      <c r="AV20" s="547"/>
      <c r="AW20" s="547"/>
      <c r="AX20" s="548"/>
      <c r="AY20" s="218"/>
      <c r="AZ20" s="217"/>
      <c r="BA20" s="218"/>
      <c r="BB20" s="218"/>
      <c r="BC20" s="218"/>
      <c r="BD20" s="218"/>
      <c r="BE20" s="218"/>
      <c r="BF20" s="218"/>
      <c r="BG20" s="218"/>
      <c r="BH20" s="219"/>
      <c r="BI20" s="228"/>
      <c r="BJ20" s="546" t="s">
        <v>574</v>
      </c>
      <c r="BK20" s="547"/>
      <c r="BL20" s="547"/>
      <c r="BM20" s="547"/>
      <c r="BN20" s="547"/>
      <c r="BO20" s="547"/>
      <c r="BP20" s="547"/>
      <c r="BQ20" s="547"/>
      <c r="BR20" s="548"/>
    </row>
    <row r="21" spans="1:70" s="211" customFormat="1" ht="9" customHeight="1" x14ac:dyDescent="0.25">
      <c r="A21" s="221"/>
      <c r="B21" s="546" t="s">
        <v>575</v>
      </c>
      <c r="C21" s="547"/>
      <c r="D21" s="547"/>
      <c r="E21" s="547"/>
      <c r="F21" s="547"/>
      <c r="G21" s="547"/>
      <c r="H21" s="547"/>
      <c r="I21" s="547"/>
      <c r="J21" s="548"/>
      <c r="K21" s="222"/>
      <c r="L21" s="212"/>
      <c r="M21" s="212"/>
      <c r="N21" s="212"/>
      <c r="O21" s="212"/>
      <c r="P21" s="212"/>
      <c r="Q21" s="212"/>
      <c r="R21" s="212"/>
      <c r="S21" s="212"/>
      <c r="T21" s="214"/>
      <c r="U21" s="222"/>
      <c r="V21" s="212"/>
      <c r="W21" s="212"/>
      <c r="X21" s="212"/>
      <c r="Y21" s="212"/>
      <c r="Z21" s="212"/>
      <c r="AA21" s="212"/>
      <c r="AB21" s="212"/>
      <c r="AC21" s="212"/>
      <c r="AD21" s="214"/>
      <c r="AE21" s="222"/>
      <c r="AF21" s="212"/>
      <c r="AG21" s="212"/>
      <c r="AH21" s="212"/>
      <c r="AI21" s="212"/>
      <c r="AJ21" s="212"/>
      <c r="AK21" s="212"/>
      <c r="AL21" s="212"/>
      <c r="AM21" s="212"/>
      <c r="AN21" s="214"/>
      <c r="AO21" s="222"/>
      <c r="AP21" s="212"/>
      <c r="AQ21" s="212"/>
      <c r="AR21" s="212"/>
      <c r="AS21" s="212"/>
      <c r="AT21" s="212"/>
      <c r="AU21" s="212"/>
      <c r="AV21" s="212"/>
      <c r="AW21" s="212"/>
      <c r="AX21" s="214"/>
      <c r="AY21" s="222"/>
      <c r="AZ21" s="212"/>
      <c r="BA21" s="212"/>
      <c r="BB21" s="212"/>
      <c r="BC21" s="212"/>
      <c r="BD21" s="212"/>
      <c r="BE21" s="212"/>
      <c r="BF21" s="212"/>
      <c r="BG21" s="212"/>
      <c r="BH21" s="214"/>
      <c r="BI21" s="222"/>
      <c r="BJ21" s="212"/>
      <c r="BK21" s="212"/>
      <c r="BL21" s="212"/>
      <c r="BM21" s="212"/>
      <c r="BN21" s="212"/>
      <c r="BO21" s="212"/>
      <c r="BP21" s="212"/>
      <c r="BQ21" s="212"/>
      <c r="BR21" s="214"/>
    </row>
    <row r="22" spans="1:70" s="211" customFormat="1" ht="9" customHeight="1" x14ac:dyDescent="0.25">
      <c r="A22" s="221"/>
      <c r="B22" s="212"/>
      <c r="C22" s="212"/>
      <c r="D22" s="212"/>
      <c r="E22" s="212"/>
      <c r="F22" s="212"/>
      <c r="G22" s="212"/>
      <c r="H22" s="212"/>
      <c r="I22" s="212"/>
      <c r="J22" s="214"/>
      <c r="K22" s="222"/>
      <c r="L22" s="212"/>
      <c r="M22" s="212"/>
      <c r="N22" s="212"/>
      <c r="O22" s="212"/>
      <c r="P22" s="212"/>
      <c r="Q22" s="212"/>
      <c r="R22" s="212"/>
      <c r="S22" s="212"/>
      <c r="T22" s="214"/>
      <c r="U22" s="222"/>
      <c r="V22" s="212"/>
      <c r="W22" s="212"/>
      <c r="X22" s="212"/>
      <c r="Y22" s="212"/>
      <c r="Z22" s="212"/>
      <c r="AA22" s="212"/>
      <c r="AB22" s="212"/>
      <c r="AC22" s="212"/>
      <c r="AD22" s="214"/>
      <c r="AE22" s="222"/>
      <c r="AF22" s="212"/>
      <c r="AG22" s="212"/>
      <c r="AH22" s="212"/>
      <c r="AI22" s="212"/>
      <c r="AJ22" s="212"/>
      <c r="AK22" s="212"/>
      <c r="AL22" s="212"/>
      <c r="AM22" s="212"/>
      <c r="AN22" s="214"/>
      <c r="AO22" s="222"/>
      <c r="AP22" s="212"/>
      <c r="AQ22" s="212"/>
      <c r="AR22" s="212"/>
      <c r="AS22" s="212"/>
      <c r="AT22" s="212"/>
      <c r="AU22" s="212"/>
      <c r="AV22" s="212"/>
      <c r="AW22" s="212"/>
      <c r="AX22" s="214"/>
      <c r="AY22" s="222"/>
      <c r="AZ22" s="212"/>
      <c r="BA22" s="212"/>
      <c r="BB22" s="212"/>
      <c r="BC22" s="212"/>
      <c r="BD22" s="212"/>
      <c r="BE22" s="212"/>
      <c r="BF22" s="212"/>
      <c r="BG22" s="212"/>
      <c r="BH22" s="214"/>
      <c r="BI22" s="222"/>
      <c r="BJ22" s="212"/>
      <c r="BK22" s="212"/>
      <c r="BL22" s="212"/>
      <c r="BM22" s="212"/>
      <c r="BN22" s="212"/>
      <c r="BO22" s="212"/>
      <c r="BP22" s="212"/>
      <c r="BQ22" s="212"/>
      <c r="BR22" s="214"/>
    </row>
    <row r="23" spans="1:70" s="211" customFormat="1" ht="9.75" customHeight="1" x14ac:dyDescent="0.25">
      <c r="A23" s="221"/>
      <c r="B23" s="212"/>
      <c r="C23" s="212"/>
      <c r="D23" s="212"/>
      <c r="E23" s="212"/>
      <c r="F23" s="212"/>
      <c r="G23" s="212"/>
      <c r="H23" s="212"/>
      <c r="I23" s="212"/>
      <c r="J23" s="214"/>
      <c r="K23" s="222"/>
      <c r="L23" s="212"/>
      <c r="M23" s="212"/>
      <c r="N23" s="212"/>
      <c r="O23" s="212"/>
      <c r="P23" s="212"/>
      <c r="Q23" s="212"/>
      <c r="R23" s="212"/>
      <c r="S23" s="212"/>
      <c r="T23" s="214"/>
      <c r="U23" s="222"/>
      <c r="V23" s="212"/>
      <c r="W23" s="212"/>
      <c r="X23" s="212"/>
      <c r="Y23" s="212"/>
      <c r="Z23" s="212"/>
      <c r="AA23" s="212"/>
      <c r="AB23" s="212"/>
      <c r="AC23" s="212"/>
      <c r="AD23" s="214"/>
      <c r="AE23" s="222"/>
      <c r="AF23" s="212"/>
      <c r="AG23" s="212"/>
      <c r="AH23" s="212"/>
      <c r="AI23" s="212"/>
      <c r="AJ23" s="212"/>
      <c r="AK23" s="212"/>
      <c r="AL23" s="212"/>
      <c r="AM23" s="212"/>
      <c r="AN23" s="214"/>
      <c r="AO23" s="222"/>
      <c r="AP23" s="212"/>
      <c r="AQ23" s="212"/>
      <c r="AR23" s="212"/>
      <c r="AS23" s="212"/>
      <c r="AT23" s="212"/>
      <c r="AU23" s="212"/>
      <c r="AV23" s="212"/>
      <c r="AW23" s="212"/>
      <c r="AX23" s="214"/>
      <c r="AY23" s="222"/>
      <c r="AZ23" s="212"/>
      <c r="BA23" s="212"/>
      <c r="BB23" s="212"/>
      <c r="BC23" s="212"/>
      <c r="BD23" s="212"/>
      <c r="BE23" s="212"/>
      <c r="BF23" s="212"/>
      <c r="BG23" s="212"/>
      <c r="BH23" s="214"/>
      <c r="BI23" s="222"/>
      <c r="BJ23" s="212"/>
      <c r="BK23" s="212"/>
      <c r="BL23" s="212"/>
      <c r="BM23" s="212"/>
      <c r="BN23" s="212"/>
      <c r="BO23" s="212"/>
      <c r="BP23" s="212"/>
      <c r="BQ23" s="212"/>
      <c r="BR23" s="214"/>
    </row>
    <row r="24" spans="1:70" s="235" customFormat="1" ht="9" customHeight="1" x14ac:dyDescent="0.25">
      <c r="A24" s="229"/>
      <c r="B24" s="212"/>
      <c r="C24" s="212"/>
      <c r="D24" s="212"/>
      <c r="E24" s="212"/>
      <c r="F24" s="212"/>
      <c r="G24" s="212"/>
      <c r="H24" s="212"/>
      <c r="I24" s="212"/>
      <c r="J24" s="214"/>
      <c r="K24" s="233"/>
      <c r="L24" s="212"/>
      <c r="M24" s="212"/>
      <c r="N24" s="212"/>
      <c r="O24" s="212"/>
      <c r="P24" s="212"/>
      <c r="Q24" s="212"/>
      <c r="R24" s="212"/>
      <c r="S24" s="212"/>
      <c r="T24" s="214"/>
      <c r="U24" s="233"/>
      <c r="V24" s="212"/>
      <c r="W24" s="212"/>
      <c r="X24" s="212"/>
      <c r="Y24" s="212"/>
      <c r="Z24" s="212"/>
      <c r="AA24" s="212"/>
      <c r="AB24" s="212"/>
      <c r="AC24" s="212"/>
      <c r="AD24" s="214"/>
      <c r="AE24" s="233"/>
      <c r="AF24" s="212"/>
      <c r="AG24" s="212"/>
      <c r="AH24" s="212"/>
      <c r="AI24" s="212"/>
      <c r="AJ24" s="212"/>
      <c r="AK24" s="212"/>
      <c r="AL24" s="212"/>
      <c r="AM24" s="212"/>
      <c r="AN24" s="214"/>
      <c r="AO24" s="233"/>
      <c r="AP24" s="212"/>
      <c r="AQ24" s="212"/>
      <c r="AR24" s="212"/>
      <c r="AS24" s="212"/>
      <c r="AT24" s="212"/>
      <c r="AU24" s="212"/>
      <c r="AV24" s="212"/>
      <c r="AW24" s="212"/>
      <c r="AX24" s="214"/>
      <c r="AY24" s="233"/>
      <c r="AZ24" s="212"/>
      <c r="BA24" s="212"/>
      <c r="BB24" s="212"/>
      <c r="BC24" s="212"/>
      <c r="BD24" s="212"/>
      <c r="BE24" s="212"/>
      <c r="BF24" s="212"/>
      <c r="BG24" s="212"/>
      <c r="BH24" s="214"/>
      <c r="BI24" s="222"/>
      <c r="BJ24" s="212"/>
      <c r="BK24" s="212"/>
      <c r="BL24" s="212"/>
      <c r="BM24" s="212"/>
      <c r="BN24" s="212"/>
      <c r="BO24" s="212"/>
      <c r="BP24" s="212"/>
      <c r="BQ24" s="212"/>
      <c r="BR24" s="214"/>
    </row>
    <row r="25" spans="1:70" s="235" customFormat="1" ht="9" customHeight="1" x14ac:dyDescent="0.25">
      <c r="A25" s="229"/>
      <c r="B25" s="212"/>
      <c r="C25" s="212"/>
      <c r="D25" s="212"/>
      <c r="E25" s="212"/>
      <c r="F25" s="212"/>
      <c r="G25" s="212"/>
      <c r="H25" s="212"/>
      <c r="I25" s="212"/>
      <c r="J25" s="214"/>
      <c r="K25" s="233"/>
      <c r="L25" s="212"/>
      <c r="M25" s="212"/>
      <c r="N25" s="212"/>
      <c r="O25" s="212"/>
      <c r="P25" s="212"/>
      <c r="Q25" s="212"/>
      <c r="R25" s="212"/>
      <c r="S25" s="212"/>
      <c r="T25" s="214"/>
      <c r="U25" s="233"/>
      <c r="V25" s="212"/>
      <c r="W25" s="212"/>
      <c r="X25" s="212"/>
      <c r="Y25" s="212"/>
      <c r="Z25" s="212"/>
      <c r="AA25" s="212"/>
      <c r="AB25" s="212"/>
      <c r="AC25" s="212"/>
      <c r="AD25" s="214"/>
      <c r="AE25" s="233"/>
      <c r="AF25" s="212"/>
      <c r="AG25" s="212"/>
      <c r="AH25" s="212"/>
      <c r="AI25" s="212"/>
      <c r="AJ25" s="212"/>
      <c r="AK25" s="212"/>
      <c r="AL25" s="212"/>
      <c r="AM25" s="212"/>
      <c r="AN25" s="214"/>
      <c r="AO25" s="233"/>
      <c r="AP25" s="212"/>
      <c r="AQ25" s="212"/>
      <c r="AR25" s="212"/>
      <c r="AS25" s="212"/>
      <c r="AT25" s="212"/>
      <c r="AU25" s="212"/>
      <c r="AV25" s="212"/>
      <c r="AW25" s="212"/>
      <c r="AX25" s="214"/>
      <c r="AY25" s="233"/>
      <c r="AZ25" s="212"/>
      <c r="BA25" s="212"/>
      <c r="BB25" s="212"/>
      <c r="BC25" s="212"/>
      <c r="BD25" s="212"/>
      <c r="BE25" s="212"/>
      <c r="BF25" s="212"/>
      <c r="BG25" s="212"/>
      <c r="BH25" s="214"/>
      <c r="BI25" s="222"/>
      <c r="BJ25" s="212"/>
      <c r="BK25" s="212"/>
      <c r="BL25" s="212"/>
      <c r="BM25" s="212"/>
      <c r="BN25" s="212"/>
      <c r="BO25" s="212"/>
      <c r="BP25" s="212"/>
      <c r="BQ25" s="212"/>
      <c r="BR25" s="214"/>
    </row>
    <row r="26" spans="1:70" s="235" customFormat="1" ht="9" customHeight="1" x14ac:dyDescent="0.25">
      <c r="A26" s="229"/>
      <c r="B26" s="212"/>
      <c r="C26" s="212"/>
      <c r="D26" s="212"/>
      <c r="E26" s="212"/>
      <c r="F26" s="212"/>
      <c r="G26" s="212"/>
      <c r="H26" s="212"/>
      <c r="I26" s="212"/>
      <c r="J26" s="214"/>
      <c r="K26" s="233"/>
      <c r="L26" s="212"/>
      <c r="M26" s="212"/>
      <c r="N26" s="212"/>
      <c r="O26" s="212"/>
      <c r="P26" s="212"/>
      <c r="Q26" s="212"/>
      <c r="R26" s="212"/>
      <c r="S26" s="212"/>
      <c r="T26" s="214"/>
      <c r="U26" s="233"/>
      <c r="V26" s="212"/>
      <c r="W26" s="212"/>
      <c r="X26" s="212"/>
      <c r="Y26" s="212"/>
      <c r="Z26" s="212"/>
      <c r="AA26" s="212"/>
      <c r="AB26" s="212"/>
      <c r="AC26" s="212"/>
      <c r="AD26" s="214"/>
      <c r="AE26" s="233"/>
      <c r="AF26" s="212"/>
      <c r="AG26" s="212"/>
      <c r="AH26" s="212"/>
      <c r="AI26" s="212"/>
      <c r="AJ26" s="212"/>
      <c r="AK26" s="212"/>
      <c r="AL26" s="212"/>
      <c r="AM26" s="212"/>
      <c r="AN26" s="214"/>
      <c r="AO26" s="233"/>
      <c r="AP26" s="212"/>
      <c r="AQ26" s="212"/>
      <c r="AR26" s="212"/>
      <c r="AS26" s="212"/>
      <c r="AT26" s="212"/>
      <c r="AU26" s="212"/>
      <c r="AV26" s="212"/>
      <c r="AW26" s="212"/>
      <c r="AX26" s="214"/>
      <c r="AY26" s="233"/>
      <c r="AZ26" s="212"/>
      <c r="BA26" s="212"/>
      <c r="BB26" s="212"/>
      <c r="BC26" s="212"/>
      <c r="BD26" s="212"/>
      <c r="BE26" s="212"/>
      <c r="BF26" s="212"/>
      <c r="BG26" s="212"/>
      <c r="BH26" s="214"/>
      <c r="BI26" s="222"/>
      <c r="BJ26" s="212"/>
      <c r="BK26" s="212"/>
      <c r="BL26" s="212"/>
      <c r="BM26" s="212"/>
      <c r="BN26" s="212"/>
      <c r="BO26" s="212"/>
      <c r="BP26" s="212"/>
      <c r="BQ26" s="212"/>
      <c r="BR26" s="214"/>
    </row>
    <row r="27" spans="1:70" s="235" customFormat="1" ht="9" customHeight="1" x14ac:dyDescent="0.25">
      <c r="A27" s="229"/>
      <c r="B27" s="212"/>
      <c r="C27" s="212"/>
      <c r="D27" s="212"/>
      <c r="E27" s="212"/>
      <c r="F27" s="212"/>
      <c r="G27" s="212"/>
      <c r="H27" s="212"/>
      <c r="I27" s="212"/>
      <c r="J27" s="214"/>
      <c r="K27" s="233"/>
      <c r="L27" s="212"/>
      <c r="M27" s="212"/>
      <c r="N27" s="212"/>
      <c r="O27" s="212"/>
      <c r="P27" s="212"/>
      <c r="Q27" s="212"/>
      <c r="R27" s="212"/>
      <c r="S27" s="212"/>
      <c r="T27" s="214"/>
      <c r="U27" s="233"/>
      <c r="V27" s="212"/>
      <c r="W27" s="212"/>
      <c r="X27" s="212"/>
      <c r="Y27" s="212"/>
      <c r="Z27" s="212"/>
      <c r="AA27" s="212"/>
      <c r="AB27" s="212"/>
      <c r="AC27" s="212"/>
      <c r="AD27" s="214"/>
      <c r="AE27" s="233"/>
      <c r="AF27" s="212"/>
      <c r="AG27" s="212"/>
      <c r="AH27" s="212"/>
      <c r="AI27" s="212"/>
      <c r="AJ27" s="212"/>
      <c r="AK27" s="212"/>
      <c r="AL27" s="212"/>
      <c r="AM27" s="212"/>
      <c r="AN27" s="214"/>
      <c r="AO27" s="233"/>
      <c r="AP27" s="212"/>
      <c r="AQ27" s="212"/>
      <c r="AR27" s="212"/>
      <c r="AS27" s="212"/>
      <c r="AT27" s="212"/>
      <c r="AU27" s="212"/>
      <c r="AV27" s="212"/>
      <c r="AW27" s="212"/>
      <c r="AX27" s="214"/>
      <c r="AY27" s="233"/>
      <c r="AZ27" s="212"/>
      <c r="BA27" s="212"/>
      <c r="BB27" s="212"/>
      <c r="BC27" s="212"/>
      <c r="BD27" s="212"/>
      <c r="BE27" s="212"/>
      <c r="BF27" s="212"/>
      <c r="BG27" s="212"/>
      <c r="BH27" s="214"/>
      <c r="BI27" s="222"/>
      <c r="BJ27" s="212"/>
      <c r="BK27" s="212"/>
      <c r="BL27" s="212"/>
      <c r="BM27" s="212"/>
      <c r="BN27" s="212"/>
      <c r="BO27" s="212"/>
      <c r="BP27" s="212"/>
      <c r="BQ27" s="212"/>
      <c r="BR27" s="214"/>
    </row>
    <row r="28" spans="1:70" s="235" customFormat="1" ht="9" customHeight="1" x14ac:dyDescent="0.25">
      <c r="A28" s="229"/>
      <c r="B28" s="212"/>
      <c r="C28" s="212"/>
      <c r="D28" s="212"/>
      <c r="E28" s="212"/>
      <c r="F28" s="212"/>
      <c r="G28" s="212"/>
      <c r="H28" s="212"/>
      <c r="I28" s="212"/>
      <c r="J28" s="214"/>
      <c r="K28" s="233"/>
      <c r="L28" s="212"/>
      <c r="M28" s="212"/>
      <c r="N28" s="212"/>
      <c r="O28" s="212"/>
      <c r="P28" s="212"/>
      <c r="Q28" s="212"/>
      <c r="R28" s="212"/>
      <c r="S28" s="212"/>
      <c r="T28" s="214"/>
      <c r="U28" s="233"/>
      <c r="V28" s="212"/>
      <c r="W28" s="212"/>
      <c r="X28" s="212"/>
      <c r="Y28" s="212"/>
      <c r="Z28" s="212"/>
      <c r="AA28" s="212"/>
      <c r="AB28" s="212"/>
      <c r="AC28" s="212"/>
      <c r="AD28" s="214"/>
      <c r="AE28" s="233"/>
      <c r="AF28" s="212"/>
      <c r="AG28" s="212"/>
      <c r="AH28" s="212"/>
      <c r="AI28" s="212"/>
      <c r="AJ28" s="212"/>
      <c r="AK28" s="212"/>
      <c r="AL28" s="212"/>
      <c r="AM28" s="212"/>
      <c r="AN28" s="214"/>
      <c r="AO28" s="233"/>
      <c r="AP28" s="212"/>
      <c r="AQ28" s="212"/>
      <c r="AR28" s="212"/>
      <c r="AS28" s="212"/>
      <c r="AT28" s="212"/>
      <c r="AU28" s="212"/>
      <c r="AV28" s="212"/>
      <c r="AW28" s="212"/>
      <c r="AX28" s="214"/>
      <c r="AY28" s="233"/>
      <c r="AZ28" s="212"/>
      <c r="BA28" s="212"/>
      <c r="BB28" s="212"/>
      <c r="BC28" s="212"/>
      <c r="BD28" s="212"/>
      <c r="BE28" s="212"/>
      <c r="BF28" s="212"/>
      <c r="BG28" s="212"/>
      <c r="BH28" s="214"/>
      <c r="BI28" s="222"/>
      <c r="BJ28" s="212"/>
      <c r="BK28" s="212"/>
      <c r="BL28" s="212"/>
      <c r="BM28" s="212"/>
      <c r="BN28" s="212"/>
      <c r="BO28" s="212"/>
      <c r="BP28" s="212"/>
      <c r="BQ28" s="212"/>
      <c r="BR28" s="214"/>
    </row>
    <row r="29" spans="1:70" s="235" customFormat="1" ht="9" customHeight="1" x14ac:dyDescent="0.25">
      <c r="A29" s="229"/>
      <c r="B29" s="224"/>
      <c r="C29" s="224"/>
      <c r="D29" s="224"/>
      <c r="E29" s="224"/>
      <c r="F29" s="224"/>
      <c r="G29" s="224"/>
      <c r="H29" s="224"/>
      <c r="I29" s="224"/>
      <c r="J29" s="225"/>
      <c r="K29" s="233"/>
      <c r="L29" s="224"/>
      <c r="M29" s="224"/>
      <c r="N29" s="224"/>
      <c r="O29" s="224"/>
      <c r="P29" s="224"/>
      <c r="Q29" s="224"/>
      <c r="R29" s="224"/>
      <c r="S29" s="224"/>
      <c r="T29" s="225"/>
      <c r="U29" s="233"/>
      <c r="V29" s="224"/>
      <c r="W29" s="224"/>
      <c r="X29" s="224"/>
      <c r="Y29" s="224"/>
      <c r="Z29" s="224"/>
      <c r="AA29" s="224"/>
      <c r="AB29" s="224"/>
      <c r="AC29" s="224"/>
      <c r="AD29" s="225"/>
      <c r="AE29" s="233"/>
      <c r="AF29" s="224"/>
      <c r="AG29" s="224"/>
      <c r="AH29" s="224"/>
      <c r="AI29" s="224"/>
      <c r="AJ29" s="224"/>
      <c r="AK29" s="224"/>
      <c r="AL29" s="224"/>
      <c r="AM29" s="224"/>
      <c r="AN29" s="225"/>
      <c r="AO29" s="233"/>
      <c r="AP29" s="224"/>
      <c r="AQ29" s="224"/>
      <c r="AR29" s="224"/>
      <c r="AS29" s="224"/>
      <c r="AT29" s="224"/>
      <c r="AU29" s="224"/>
      <c r="AV29" s="224"/>
      <c r="AW29" s="224"/>
      <c r="AX29" s="225"/>
      <c r="AY29" s="233"/>
      <c r="AZ29" s="224"/>
      <c r="BA29" s="224"/>
      <c r="BB29" s="224"/>
      <c r="BC29" s="224"/>
      <c r="BD29" s="224"/>
      <c r="BE29" s="224"/>
      <c r="BF29" s="224"/>
      <c r="BG29" s="224"/>
      <c r="BH29" s="225"/>
      <c r="BI29" s="222"/>
      <c r="BJ29" s="224"/>
      <c r="BK29" s="224"/>
      <c r="BL29" s="224"/>
      <c r="BM29" s="224"/>
      <c r="BN29" s="224"/>
      <c r="BO29" s="224"/>
      <c r="BP29" s="224"/>
      <c r="BQ29" s="224"/>
      <c r="BR29" s="225"/>
    </row>
    <row r="30" spans="1:70" s="235" customFormat="1" ht="9" customHeight="1" x14ac:dyDescent="0.25">
      <c r="B30" s="213"/>
      <c r="C30" s="212"/>
      <c r="D30" s="212"/>
      <c r="E30" s="212"/>
      <c r="F30" s="212"/>
      <c r="G30" s="212"/>
      <c r="H30" s="212"/>
      <c r="I30" s="212"/>
      <c r="J30" s="214"/>
      <c r="K30" s="233"/>
      <c r="L30" s="212"/>
      <c r="M30" s="212"/>
      <c r="N30" s="212"/>
      <c r="O30" s="212"/>
      <c r="P30" s="212"/>
      <c r="Q30" s="212"/>
      <c r="R30" s="212"/>
      <c r="S30" s="212"/>
      <c r="T30" s="214"/>
      <c r="U30" s="231"/>
      <c r="V30" s="213"/>
      <c r="W30" s="212"/>
      <c r="X30" s="212"/>
      <c r="Y30" s="212"/>
      <c r="Z30" s="212"/>
      <c r="AA30" s="212"/>
      <c r="AB30" s="212"/>
      <c r="AC30" s="212"/>
      <c r="AD30" s="214"/>
      <c r="AE30" s="233"/>
      <c r="AF30" s="212"/>
      <c r="AG30" s="212"/>
      <c r="AH30" s="212"/>
      <c r="AI30" s="212"/>
      <c r="AJ30" s="212"/>
      <c r="AK30" s="212"/>
      <c r="AL30" s="212"/>
      <c r="AM30" s="212"/>
      <c r="AN30" s="214"/>
      <c r="AO30" s="231"/>
      <c r="AP30" s="213"/>
      <c r="AQ30" s="212"/>
      <c r="AR30" s="212"/>
      <c r="AS30" s="212"/>
      <c r="AT30" s="212"/>
      <c r="AU30" s="212"/>
      <c r="AV30" s="212"/>
      <c r="AW30" s="212"/>
      <c r="AX30" s="214"/>
      <c r="AY30" s="231"/>
      <c r="AZ30" s="213"/>
      <c r="BA30" s="212"/>
      <c r="BB30" s="212"/>
      <c r="BC30" s="212"/>
      <c r="BD30" s="212"/>
      <c r="BE30" s="212"/>
      <c r="BF30" s="212"/>
      <c r="BG30" s="212"/>
      <c r="BH30" s="214"/>
      <c r="BI30" s="222"/>
      <c r="BJ30" s="212"/>
      <c r="BK30" s="212"/>
      <c r="BL30" s="212"/>
      <c r="BM30" s="212"/>
      <c r="BN30" s="212"/>
      <c r="BO30" s="212"/>
      <c r="BP30" s="212"/>
      <c r="BQ30" s="212"/>
      <c r="BR30" s="214"/>
    </row>
    <row r="31" spans="1:70" s="235" customFormat="1" ht="9" customHeight="1" x14ac:dyDescent="0.25">
      <c r="B31" s="543" t="s">
        <v>589</v>
      </c>
      <c r="C31" s="543"/>
      <c r="D31" s="543"/>
      <c r="E31" s="543"/>
      <c r="F31" s="543"/>
      <c r="G31" s="542">
        <f>CEILING(4502*B3,1)</f>
        <v>8554</v>
      </c>
      <c r="H31" s="542"/>
      <c r="I31" s="542"/>
      <c r="J31" s="542"/>
      <c r="K31" s="199"/>
      <c r="L31" s="543" t="s">
        <v>590</v>
      </c>
      <c r="M31" s="543"/>
      <c r="N31" s="543"/>
      <c r="O31" s="543"/>
      <c r="P31" s="543"/>
      <c r="Q31" s="542">
        <f>CEILING(9578*B3,1)</f>
        <v>18199</v>
      </c>
      <c r="R31" s="542"/>
      <c r="S31" s="542"/>
      <c r="T31" s="542"/>
      <c r="U31" s="199"/>
      <c r="V31" s="543" t="s">
        <v>589</v>
      </c>
      <c r="W31" s="543"/>
      <c r="X31" s="543"/>
      <c r="Y31" s="543"/>
      <c r="Z31" s="543"/>
      <c r="AA31" s="542">
        <f>CEILING(4649*B3,1)</f>
        <v>8834</v>
      </c>
      <c r="AB31" s="542"/>
      <c r="AC31" s="542"/>
      <c r="AD31" s="542"/>
      <c r="AE31" s="199"/>
      <c r="AF31" s="543" t="s">
        <v>591</v>
      </c>
      <c r="AG31" s="543"/>
      <c r="AH31" s="543"/>
      <c r="AI31" s="543"/>
      <c r="AJ31" s="543"/>
      <c r="AK31" s="542">
        <f>CEILING(5679*B3,1)</f>
        <v>10791</v>
      </c>
      <c r="AL31" s="542"/>
      <c r="AM31" s="542"/>
      <c r="AN31" s="542"/>
      <c r="AO31" s="199"/>
      <c r="AP31" s="543" t="s">
        <v>591</v>
      </c>
      <c r="AQ31" s="543"/>
      <c r="AR31" s="543"/>
      <c r="AS31" s="543"/>
      <c r="AT31" s="543"/>
      <c r="AU31" s="542">
        <f>CEILING(6545*B3,1)</f>
        <v>12436</v>
      </c>
      <c r="AV31" s="542"/>
      <c r="AW31" s="542"/>
      <c r="AX31" s="542"/>
      <c r="AY31" s="199"/>
      <c r="AZ31" s="543" t="s">
        <v>589</v>
      </c>
      <c r="BA31" s="543"/>
      <c r="BB31" s="543"/>
      <c r="BC31" s="543"/>
      <c r="BD31" s="543"/>
      <c r="BE31" s="542">
        <f>CEILING(4446*B3,1)</f>
        <v>8448</v>
      </c>
      <c r="BF31" s="542"/>
      <c r="BG31" s="542"/>
      <c r="BH31" s="542"/>
      <c r="BI31" s="199"/>
      <c r="BJ31" s="543" t="s">
        <v>591</v>
      </c>
      <c r="BK31" s="543"/>
      <c r="BL31" s="543"/>
      <c r="BM31" s="543"/>
      <c r="BN31" s="543"/>
      <c r="BO31" s="542">
        <f>CEILING(5733*B3,1)</f>
        <v>10893</v>
      </c>
      <c r="BP31" s="542"/>
      <c r="BQ31" s="542"/>
      <c r="BR31" s="542"/>
    </row>
    <row r="32" spans="1:70" s="211" customFormat="1" ht="1.5" customHeight="1" x14ac:dyDescent="0.25">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36"/>
    </row>
    <row r="33" spans="1:70" s="235" customFormat="1" ht="9" customHeight="1" x14ac:dyDescent="0.25">
      <c r="B33" s="556" t="s">
        <v>592</v>
      </c>
      <c r="C33" s="557"/>
      <c r="D33" s="558"/>
      <c r="E33" s="571" t="s">
        <v>582</v>
      </c>
      <c r="F33" s="554"/>
      <c r="G33" s="554"/>
      <c r="H33" s="554"/>
      <c r="I33" s="554"/>
      <c r="J33" s="555"/>
      <c r="K33" s="231"/>
      <c r="L33" s="556" t="s">
        <v>593</v>
      </c>
      <c r="M33" s="557"/>
      <c r="N33" s="558"/>
      <c r="O33" s="571" t="s">
        <v>582</v>
      </c>
      <c r="P33" s="554"/>
      <c r="Q33" s="554"/>
      <c r="R33" s="554"/>
      <c r="S33" s="554"/>
      <c r="T33" s="555"/>
      <c r="U33" s="231"/>
      <c r="V33" s="556" t="s">
        <v>594</v>
      </c>
      <c r="W33" s="557"/>
      <c r="X33" s="558"/>
      <c r="Y33" s="571" t="s">
        <v>565</v>
      </c>
      <c r="Z33" s="554"/>
      <c r="AA33" s="554"/>
      <c r="AB33" s="554"/>
      <c r="AC33" s="554"/>
      <c r="AD33" s="555"/>
      <c r="AE33" s="231"/>
      <c r="AF33" s="556" t="s">
        <v>595</v>
      </c>
      <c r="AG33" s="557"/>
      <c r="AH33" s="558"/>
      <c r="AI33" s="571" t="s">
        <v>310</v>
      </c>
      <c r="AJ33" s="554"/>
      <c r="AK33" s="554"/>
      <c r="AL33" s="554"/>
      <c r="AM33" s="554"/>
      <c r="AN33" s="555"/>
      <c r="AO33" s="231"/>
      <c r="AP33" s="556" t="s">
        <v>596</v>
      </c>
      <c r="AQ33" s="557"/>
      <c r="AR33" s="558"/>
      <c r="AS33" s="571" t="s">
        <v>310</v>
      </c>
      <c r="AT33" s="554"/>
      <c r="AU33" s="554"/>
      <c r="AV33" s="554"/>
      <c r="AW33" s="554"/>
      <c r="AX33" s="555"/>
      <c r="AY33" s="232"/>
      <c r="AZ33" s="556" t="s">
        <v>597</v>
      </c>
      <c r="BA33" s="557"/>
      <c r="BB33" s="558"/>
      <c r="BC33" s="571" t="s">
        <v>310</v>
      </c>
      <c r="BD33" s="554"/>
      <c r="BE33" s="554"/>
      <c r="BF33" s="554"/>
      <c r="BG33" s="554"/>
      <c r="BH33" s="555"/>
      <c r="BI33" s="231"/>
      <c r="BJ33" s="556" t="s">
        <v>598</v>
      </c>
      <c r="BK33" s="557"/>
      <c r="BL33" s="558"/>
      <c r="BM33" s="571" t="s">
        <v>310</v>
      </c>
      <c r="BN33" s="554"/>
      <c r="BO33" s="554"/>
      <c r="BP33" s="554"/>
      <c r="BQ33" s="554"/>
      <c r="BR33" s="555"/>
    </row>
    <row r="34" spans="1:70" s="216" customFormat="1" ht="9" customHeight="1" x14ac:dyDescent="0.25">
      <c r="A34" s="239"/>
      <c r="B34" s="546" t="s">
        <v>599</v>
      </c>
      <c r="C34" s="547"/>
      <c r="D34" s="547"/>
      <c r="E34" s="547"/>
      <c r="F34" s="547"/>
      <c r="G34" s="547"/>
      <c r="H34" s="547"/>
      <c r="I34" s="547"/>
      <c r="J34" s="548"/>
      <c r="K34" s="218"/>
      <c r="L34" s="217"/>
      <c r="M34" s="218"/>
      <c r="N34" s="218"/>
      <c r="O34" s="218"/>
      <c r="P34" s="218"/>
      <c r="Q34" s="218"/>
      <c r="R34" s="218"/>
      <c r="S34" s="218"/>
      <c r="T34" s="219"/>
      <c r="U34" s="228"/>
      <c r="V34" s="546" t="s">
        <v>600</v>
      </c>
      <c r="W34" s="547"/>
      <c r="X34" s="547"/>
      <c r="Y34" s="547"/>
      <c r="Z34" s="547"/>
      <c r="AA34" s="547"/>
      <c r="AB34" s="547"/>
      <c r="AC34" s="547"/>
      <c r="AD34" s="548"/>
      <c r="AE34" s="218"/>
      <c r="AF34" s="546" t="s">
        <v>601</v>
      </c>
      <c r="AG34" s="547"/>
      <c r="AH34" s="547"/>
      <c r="AI34" s="547"/>
      <c r="AJ34" s="547"/>
      <c r="AK34" s="547"/>
      <c r="AL34" s="547"/>
      <c r="AM34" s="547"/>
      <c r="AN34" s="548"/>
      <c r="AO34" s="218"/>
      <c r="AP34" s="546" t="s">
        <v>601</v>
      </c>
      <c r="AQ34" s="547"/>
      <c r="AR34" s="547"/>
      <c r="AS34" s="547"/>
      <c r="AT34" s="547"/>
      <c r="AU34" s="547"/>
      <c r="AV34" s="547"/>
      <c r="AW34" s="547"/>
      <c r="AX34" s="548"/>
      <c r="AY34" s="219"/>
      <c r="AZ34" s="546" t="s">
        <v>601</v>
      </c>
      <c r="BA34" s="547"/>
      <c r="BB34" s="547"/>
      <c r="BC34" s="547"/>
      <c r="BD34" s="547"/>
      <c r="BE34" s="547"/>
      <c r="BF34" s="547"/>
      <c r="BG34" s="547"/>
      <c r="BH34" s="548"/>
      <c r="BI34" s="218"/>
      <c r="BJ34" s="546" t="s">
        <v>601</v>
      </c>
      <c r="BK34" s="547"/>
      <c r="BL34" s="547"/>
      <c r="BM34" s="547"/>
      <c r="BN34" s="547"/>
      <c r="BO34" s="547"/>
      <c r="BP34" s="547"/>
      <c r="BQ34" s="547"/>
      <c r="BR34" s="548"/>
    </row>
    <row r="35" spans="1:70" s="211" customFormat="1" ht="9" customHeight="1" x14ac:dyDescent="0.25">
      <c r="A35" s="221"/>
      <c r="B35" s="212"/>
      <c r="C35" s="212"/>
      <c r="D35" s="212"/>
      <c r="E35" s="212"/>
      <c r="F35" s="212"/>
      <c r="G35" s="212"/>
      <c r="H35" s="212"/>
      <c r="I35" s="212"/>
      <c r="J35" s="214"/>
      <c r="K35" s="222"/>
      <c r="L35" s="212"/>
      <c r="M35" s="212"/>
      <c r="N35" s="212"/>
      <c r="O35" s="212"/>
      <c r="P35" s="212"/>
      <c r="Q35" s="212"/>
      <c r="R35" s="212"/>
      <c r="S35" s="212"/>
      <c r="T35" s="214"/>
      <c r="U35" s="222"/>
      <c r="V35" s="212"/>
      <c r="W35" s="212"/>
      <c r="X35" s="212"/>
      <c r="Y35" s="212"/>
      <c r="Z35" s="212"/>
      <c r="AA35" s="212"/>
      <c r="AB35" s="212"/>
      <c r="AC35" s="212"/>
      <c r="AD35" s="214"/>
      <c r="AE35" s="222"/>
      <c r="AF35" s="546" t="s">
        <v>602</v>
      </c>
      <c r="AG35" s="547"/>
      <c r="AH35" s="547"/>
      <c r="AI35" s="547"/>
      <c r="AJ35" s="547"/>
      <c r="AK35" s="547"/>
      <c r="AL35" s="547"/>
      <c r="AM35" s="547"/>
      <c r="AN35" s="548"/>
      <c r="AO35" s="214"/>
      <c r="AP35" s="546" t="s">
        <v>603</v>
      </c>
      <c r="AQ35" s="547"/>
      <c r="AR35" s="547"/>
      <c r="AS35" s="547"/>
      <c r="AT35" s="547"/>
      <c r="AU35" s="547"/>
      <c r="AV35" s="547"/>
      <c r="AW35" s="547"/>
      <c r="AX35" s="548"/>
      <c r="AY35" s="214"/>
      <c r="AZ35" s="546" t="s">
        <v>604</v>
      </c>
      <c r="BA35" s="547"/>
      <c r="BB35" s="547"/>
      <c r="BC35" s="547"/>
      <c r="BD35" s="547"/>
      <c r="BE35" s="547"/>
      <c r="BF35" s="547"/>
      <c r="BG35" s="547"/>
      <c r="BH35" s="548"/>
      <c r="BI35" s="222"/>
      <c r="BJ35" s="546" t="s">
        <v>603</v>
      </c>
      <c r="BK35" s="547"/>
      <c r="BL35" s="547"/>
      <c r="BM35" s="547"/>
      <c r="BN35" s="547"/>
      <c r="BO35" s="547"/>
      <c r="BP35" s="547"/>
      <c r="BQ35" s="547"/>
      <c r="BR35" s="548"/>
    </row>
    <row r="36" spans="1:70" s="211" customFormat="1" ht="9" customHeight="1" x14ac:dyDescent="0.25">
      <c r="A36" s="221"/>
      <c r="B36" s="212"/>
      <c r="C36" s="212"/>
      <c r="D36" s="212"/>
      <c r="E36" s="212"/>
      <c r="F36" s="212"/>
      <c r="G36" s="212"/>
      <c r="H36" s="212"/>
      <c r="I36" s="212"/>
      <c r="J36" s="214"/>
      <c r="K36" s="222"/>
      <c r="L36" s="212"/>
      <c r="M36" s="212"/>
      <c r="N36" s="212"/>
      <c r="O36" s="212"/>
      <c r="P36" s="212"/>
      <c r="Q36" s="212"/>
      <c r="R36" s="212"/>
      <c r="S36" s="212"/>
      <c r="T36" s="214"/>
      <c r="U36" s="222"/>
      <c r="V36" s="212"/>
      <c r="W36" s="212"/>
      <c r="X36" s="212"/>
      <c r="Y36" s="212"/>
      <c r="Z36" s="212"/>
      <c r="AA36" s="212"/>
      <c r="AB36" s="212"/>
      <c r="AC36" s="212"/>
      <c r="AD36" s="214"/>
      <c r="AE36" s="222"/>
      <c r="AF36" s="212"/>
      <c r="AG36" s="212"/>
      <c r="AH36" s="212"/>
      <c r="AI36" s="212"/>
      <c r="AJ36" s="212"/>
      <c r="AK36" s="212"/>
      <c r="AL36" s="212"/>
      <c r="AM36" s="212"/>
      <c r="AN36" s="214"/>
      <c r="AO36" s="214"/>
      <c r="AP36" s="212"/>
      <c r="AQ36" s="212"/>
      <c r="AR36" s="212"/>
      <c r="AS36" s="212"/>
      <c r="AT36" s="212"/>
      <c r="AU36" s="212"/>
      <c r="AV36" s="212"/>
      <c r="AW36" s="212"/>
      <c r="AX36" s="214"/>
      <c r="AY36" s="214"/>
      <c r="AZ36" s="212"/>
      <c r="BA36" s="212"/>
      <c r="BB36" s="212"/>
      <c r="BC36" s="212"/>
      <c r="BD36" s="212"/>
      <c r="BE36" s="212"/>
      <c r="BF36" s="212"/>
      <c r="BG36" s="212"/>
      <c r="BH36" s="214"/>
      <c r="BI36" s="222"/>
      <c r="BJ36" s="212"/>
      <c r="BK36" s="212"/>
      <c r="BL36" s="212"/>
      <c r="BM36" s="212"/>
      <c r="BN36" s="212"/>
      <c r="BO36" s="212"/>
      <c r="BP36" s="212"/>
      <c r="BQ36" s="212"/>
      <c r="BR36" s="214"/>
    </row>
    <row r="37" spans="1:70" s="211" customFormat="1" ht="9.75" customHeight="1" x14ac:dyDescent="0.25">
      <c r="A37" s="221"/>
      <c r="B37" s="212"/>
      <c r="C37" s="212"/>
      <c r="D37" s="212"/>
      <c r="E37" s="212"/>
      <c r="F37" s="212"/>
      <c r="G37" s="212"/>
      <c r="H37" s="212"/>
      <c r="I37" s="212"/>
      <c r="J37" s="214"/>
      <c r="K37" s="222"/>
      <c r="L37" s="212"/>
      <c r="M37" s="212"/>
      <c r="N37" s="212"/>
      <c r="O37" s="212"/>
      <c r="P37" s="212"/>
      <c r="Q37" s="212"/>
      <c r="R37" s="212"/>
      <c r="S37" s="212"/>
      <c r="T37" s="214"/>
      <c r="U37" s="222"/>
      <c r="V37" s="212"/>
      <c r="W37" s="212"/>
      <c r="X37" s="212"/>
      <c r="Y37" s="212"/>
      <c r="Z37" s="212"/>
      <c r="AA37" s="212"/>
      <c r="AB37" s="212"/>
      <c r="AC37" s="212"/>
      <c r="AD37" s="214"/>
      <c r="AE37" s="222"/>
      <c r="AF37" s="212"/>
      <c r="AG37" s="212"/>
      <c r="AH37" s="212"/>
      <c r="AI37" s="212"/>
      <c r="AJ37" s="212"/>
      <c r="AK37" s="212"/>
      <c r="AL37" s="212"/>
      <c r="AM37" s="212"/>
      <c r="AN37" s="214"/>
      <c r="AO37" s="214"/>
      <c r="AP37" s="212"/>
      <c r="AQ37" s="212"/>
      <c r="AR37" s="212"/>
      <c r="AS37" s="212"/>
      <c r="AT37" s="212"/>
      <c r="AU37" s="212"/>
      <c r="AV37" s="212"/>
      <c r="AW37" s="212"/>
      <c r="AX37" s="214"/>
      <c r="AY37" s="214"/>
      <c r="AZ37" s="212"/>
      <c r="BA37" s="212"/>
      <c r="BB37" s="212"/>
      <c r="BC37" s="212"/>
      <c r="BD37" s="212"/>
      <c r="BE37" s="212"/>
      <c r="BF37" s="212"/>
      <c r="BG37" s="212"/>
      <c r="BH37" s="214"/>
      <c r="BI37" s="222"/>
      <c r="BJ37" s="212"/>
      <c r="BK37" s="212"/>
      <c r="BL37" s="212"/>
      <c r="BM37" s="212"/>
      <c r="BN37" s="212"/>
      <c r="BO37" s="212"/>
      <c r="BP37" s="212"/>
      <c r="BQ37" s="212"/>
      <c r="BR37" s="214"/>
    </row>
    <row r="38" spans="1:70" s="235" customFormat="1" ht="9" customHeight="1" x14ac:dyDescent="0.25">
      <c r="A38" s="229"/>
      <c r="B38" s="212"/>
      <c r="C38" s="212"/>
      <c r="D38" s="212"/>
      <c r="E38" s="212"/>
      <c r="F38" s="212"/>
      <c r="G38" s="212"/>
      <c r="H38" s="212"/>
      <c r="I38" s="212"/>
      <c r="J38" s="214"/>
      <c r="K38" s="233"/>
      <c r="L38" s="212"/>
      <c r="M38" s="212"/>
      <c r="N38" s="212"/>
      <c r="O38" s="212"/>
      <c r="P38" s="212"/>
      <c r="Q38" s="212"/>
      <c r="R38" s="212"/>
      <c r="S38" s="212"/>
      <c r="T38" s="214"/>
      <c r="U38" s="222"/>
      <c r="V38" s="212"/>
      <c r="W38" s="212"/>
      <c r="X38" s="212"/>
      <c r="Y38" s="212"/>
      <c r="Z38" s="212"/>
      <c r="AA38" s="212"/>
      <c r="AB38" s="212"/>
      <c r="AC38" s="212"/>
      <c r="AD38" s="214"/>
      <c r="AE38" s="233"/>
      <c r="AF38" s="212"/>
      <c r="AG38" s="212"/>
      <c r="AH38" s="212"/>
      <c r="AI38" s="212"/>
      <c r="AJ38" s="212"/>
      <c r="AK38" s="212"/>
      <c r="AL38" s="212"/>
      <c r="AM38" s="212"/>
      <c r="AN38" s="214"/>
      <c r="AO38" s="232"/>
      <c r="AP38" s="212"/>
      <c r="AQ38" s="212"/>
      <c r="AR38" s="212"/>
      <c r="AS38" s="212"/>
      <c r="AT38" s="212"/>
      <c r="AU38" s="212"/>
      <c r="AV38" s="212"/>
      <c r="AW38" s="212"/>
      <c r="AX38" s="214"/>
      <c r="AY38" s="232"/>
      <c r="AZ38" s="212"/>
      <c r="BA38" s="212"/>
      <c r="BB38" s="212"/>
      <c r="BC38" s="212"/>
      <c r="BD38" s="212"/>
      <c r="BE38" s="212"/>
      <c r="BF38" s="212"/>
      <c r="BG38" s="212"/>
      <c r="BH38" s="214"/>
      <c r="BI38" s="233"/>
      <c r="BJ38" s="212"/>
      <c r="BK38" s="212"/>
      <c r="BL38" s="212"/>
      <c r="BM38" s="212"/>
      <c r="BN38" s="212"/>
      <c r="BO38" s="212"/>
      <c r="BP38" s="212"/>
      <c r="BQ38" s="212"/>
      <c r="BR38" s="214"/>
    </row>
    <row r="39" spans="1:70" s="235" customFormat="1" ht="9" customHeight="1" x14ac:dyDescent="0.25">
      <c r="A39" s="229"/>
      <c r="B39" s="212"/>
      <c r="C39" s="212"/>
      <c r="D39" s="212"/>
      <c r="E39" s="212"/>
      <c r="F39" s="212"/>
      <c r="G39" s="212"/>
      <c r="H39" s="212"/>
      <c r="I39" s="212"/>
      <c r="J39" s="214"/>
      <c r="K39" s="233"/>
      <c r="L39" s="212"/>
      <c r="M39" s="212"/>
      <c r="N39" s="212"/>
      <c r="O39" s="212"/>
      <c r="P39" s="212"/>
      <c r="Q39" s="212"/>
      <c r="R39" s="212"/>
      <c r="S39" s="212"/>
      <c r="T39" s="214"/>
      <c r="U39" s="222"/>
      <c r="V39" s="212"/>
      <c r="W39" s="212"/>
      <c r="X39" s="212"/>
      <c r="Y39" s="212"/>
      <c r="Z39" s="212"/>
      <c r="AA39" s="212"/>
      <c r="AB39" s="212"/>
      <c r="AC39" s="212"/>
      <c r="AD39" s="214"/>
      <c r="AE39" s="233"/>
      <c r="AF39" s="212"/>
      <c r="AG39" s="212"/>
      <c r="AH39" s="212"/>
      <c r="AI39" s="212"/>
      <c r="AJ39" s="212"/>
      <c r="AK39" s="212"/>
      <c r="AL39" s="212"/>
      <c r="AM39" s="212"/>
      <c r="AN39" s="214"/>
      <c r="AO39" s="232"/>
      <c r="AP39" s="212"/>
      <c r="AQ39" s="212"/>
      <c r="AR39" s="212"/>
      <c r="AS39" s="212"/>
      <c r="AT39" s="212"/>
      <c r="AU39" s="212"/>
      <c r="AV39" s="212"/>
      <c r="AW39" s="212"/>
      <c r="AX39" s="214"/>
      <c r="AY39" s="232"/>
      <c r="AZ39" s="212"/>
      <c r="BA39" s="212"/>
      <c r="BB39" s="212"/>
      <c r="BC39" s="212"/>
      <c r="BD39" s="212"/>
      <c r="BE39" s="212"/>
      <c r="BF39" s="212"/>
      <c r="BG39" s="212"/>
      <c r="BH39" s="214"/>
      <c r="BI39" s="233"/>
      <c r="BJ39" s="212"/>
      <c r="BK39" s="212"/>
      <c r="BL39" s="212"/>
      <c r="BM39" s="212"/>
      <c r="BN39" s="212"/>
      <c r="BO39" s="212"/>
      <c r="BP39" s="212"/>
      <c r="BQ39" s="212"/>
      <c r="BR39" s="214"/>
    </row>
    <row r="40" spans="1:70" s="235" customFormat="1" ht="9" customHeight="1" x14ac:dyDescent="0.25">
      <c r="A40" s="229"/>
      <c r="B40" s="212"/>
      <c r="C40" s="212"/>
      <c r="D40" s="212"/>
      <c r="E40" s="212"/>
      <c r="F40" s="212"/>
      <c r="G40" s="212"/>
      <c r="H40" s="212"/>
      <c r="I40" s="212"/>
      <c r="J40" s="214"/>
      <c r="K40" s="233"/>
      <c r="L40" s="212"/>
      <c r="M40" s="212"/>
      <c r="N40" s="212"/>
      <c r="O40" s="212"/>
      <c r="P40" s="212"/>
      <c r="Q40" s="212"/>
      <c r="R40" s="212"/>
      <c r="S40" s="212"/>
      <c r="T40" s="214"/>
      <c r="U40" s="222"/>
      <c r="V40" s="212"/>
      <c r="W40" s="212"/>
      <c r="X40" s="212"/>
      <c r="Y40" s="212"/>
      <c r="Z40" s="212"/>
      <c r="AA40" s="212"/>
      <c r="AB40" s="212"/>
      <c r="AC40" s="212"/>
      <c r="AD40" s="214"/>
      <c r="AE40" s="233"/>
      <c r="AF40" s="212"/>
      <c r="AG40" s="212"/>
      <c r="AH40" s="212"/>
      <c r="AI40" s="212"/>
      <c r="AJ40" s="212"/>
      <c r="AK40" s="212"/>
      <c r="AL40" s="212"/>
      <c r="AM40" s="212"/>
      <c r="AN40" s="214"/>
      <c r="AO40" s="232"/>
      <c r="AP40" s="212"/>
      <c r="AQ40" s="212"/>
      <c r="AR40" s="212"/>
      <c r="AS40" s="212"/>
      <c r="AT40" s="212"/>
      <c r="AU40" s="212"/>
      <c r="AV40" s="212"/>
      <c r="AW40" s="212"/>
      <c r="AX40" s="214"/>
      <c r="AY40" s="232"/>
      <c r="AZ40" s="212"/>
      <c r="BA40" s="212"/>
      <c r="BB40" s="212"/>
      <c r="BC40" s="212"/>
      <c r="BD40" s="212"/>
      <c r="BE40" s="212"/>
      <c r="BF40" s="212"/>
      <c r="BG40" s="212"/>
      <c r="BH40" s="214"/>
      <c r="BI40" s="233"/>
      <c r="BJ40" s="212"/>
      <c r="BK40" s="212"/>
      <c r="BL40" s="212"/>
      <c r="BM40" s="212"/>
      <c r="BN40" s="212"/>
      <c r="BO40" s="212"/>
      <c r="BP40" s="212"/>
      <c r="BQ40" s="212"/>
      <c r="BR40" s="214"/>
    </row>
    <row r="41" spans="1:70" s="235" customFormat="1" ht="9" customHeight="1" x14ac:dyDescent="0.25">
      <c r="A41" s="229"/>
      <c r="B41" s="212"/>
      <c r="C41" s="212"/>
      <c r="D41" s="212"/>
      <c r="E41" s="212"/>
      <c r="F41" s="212"/>
      <c r="G41" s="212"/>
      <c r="H41" s="212"/>
      <c r="I41" s="212"/>
      <c r="J41" s="214"/>
      <c r="K41" s="233"/>
      <c r="L41" s="212"/>
      <c r="M41" s="212"/>
      <c r="N41" s="212"/>
      <c r="O41" s="212"/>
      <c r="P41" s="212"/>
      <c r="Q41" s="212"/>
      <c r="R41" s="212"/>
      <c r="S41" s="212"/>
      <c r="T41" s="214"/>
      <c r="U41" s="222"/>
      <c r="V41" s="212"/>
      <c r="W41" s="212"/>
      <c r="X41" s="212"/>
      <c r="Y41" s="212"/>
      <c r="Z41" s="212"/>
      <c r="AA41" s="212"/>
      <c r="AB41" s="212"/>
      <c r="AC41" s="212"/>
      <c r="AD41" s="214"/>
      <c r="AE41" s="233"/>
      <c r="AF41" s="212"/>
      <c r="AG41" s="212"/>
      <c r="AH41" s="212"/>
      <c r="AI41" s="212"/>
      <c r="AJ41" s="212"/>
      <c r="AK41" s="212"/>
      <c r="AL41" s="212"/>
      <c r="AM41" s="212"/>
      <c r="AN41" s="214"/>
      <c r="AO41" s="232"/>
      <c r="AP41" s="212"/>
      <c r="AQ41" s="212"/>
      <c r="AR41" s="212"/>
      <c r="AS41" s="212"/>
      <c r="AT41" s="212"/>
      <c r="AU41" s="212"/>
      <c r="AV41" s="212"/>
      <c r="AW41" s="212"/>
      <c r="AX41" s="214"/>
      <c r="AY41" s="232"/>
      <c r="AZ41" s="212"/>
      <c r="BA41" s="212"/>
      <c r="BB41" s="212"/>
      <c r="BC41" s="212"/>
      <c r="BD41" s="212"/>
      <c r="BE41" s="212"/>
      <c r="BF41" s="212"/>
      <c r="BG41" s="212"/>
      <c r="BH41" s="214"/>
      <c r="BI41" s="233"/>
      <c r="BJ41" s="212"/>
      <c r="BK41" s="212"/>
      <c r="BL41" s="212"/>
      <c r="BM41" s="212"/>
      <c r="BN41" s="212"/>
      <c r="BO41" s="212"/>
      <c r="BP41" s="212"/>
      <c r="BQ41" s="212"/>
      <c r="BR41" s="214"/>
    </row>
    <row r="42" spans="1:70" s="235" customFormat="1" ht="9" customHeight="1" x14ac:dyDescent="0.25">
      <c r="A42" s="229"/>
      <c r="B42" s="212"/>
      <c r="C42" s="212"/>
      <c r="D42" s="212"/>
      <c r="E42" s="212"/>
      <c r="F42" s="212"/>
      <c r="G42" s="212"/>
      <c r="H42" s="212"/>
      <c r="I42" s="212"/>
      <c r="J42" s="214"/>
      <c r="K42" s="233"/>
      <c r="L42" s="212"/>
      <c r="M42" s="212"/>
      <c r="N42" s="212"/>
      <c r="O42" s="212"/>
      <c r="P42" s="212"/>
      <c r="Q42" s="212"/>
      <c r="R42" s="212"/>
      <c r="S42" s="212"/>
      <c r="T42" s="214"/>
      <c r="U42" s="222"/>
      <c r="V42" s="212"/>
      <c r="W42" s="212"/>
      <c r="X42" s="212"/>
      <c r="Y42" s="212"/>
      <c r="Z42" s="212"/>
      <c r="AA42" s="212"/>
      <c r="AB42" s="212"/>
      <c r="AC42" s="212"/>
      <c r="AD42" s="214"/>
      <c r="AE42" s="233"/>
      <c r="AF42" s="212"/>
      <c r="AG42" s="212"/>
      <c r="AH42" s="212"/>
      <c r="AI42" s="212"/>
      <c r="AJ42" s="212"/>
      <c r="AK42" s="212"/>
      <c r="AL42" s="212"/>
      <c r="AM42" s="212"/>
      <c r="AN42" s="214"/>
      <c r="AO42" s="232"/>
      <c r="AP42" s="212"/>
      <c r="AQ42" s="212"/>
      <c r="AR42" s="212"/>
      <c r="AS42" s="212"/>
      <c r="AT42" s="212"/>
      <c r="AU42" s="212"/>
      <c r="AV42" s="212"/>
      <c r="AW42" s="212"/>
      <c r="AX42" s="214"/>
      <c r="AY42" s="232"/>
      <c r="AZ42" s="212"/>
      <c r="BA42" s="212"/>
      <c r="BB42" s="212"/>
      <c r="BC42" s="212"/>
      <c r="BD42" s="212"/>
      <c r="BE42" s="212"/>
      <c r="BF42" s="212"/>
      <c r="BG42" s="212"/>
      <c r="BH42" s="214"/>
      <c r="BI42" s="233"/>
      <c r="BJ42" s="212"/>
      <c r="BK42" s="212"/>
      <c r="BL42" s="212"/>
      <c r="BM42" s="212"/>
      <c r="BN42" s="212"/>
      <c r="BO42" s="212"/>
      <c r="BP42" s="212"/>
      <c r="BQ42" s="212"/>
      <c r="BR42" s="214"/>
    </row>
    <row r="43" spans="1:70" s="235" customFormat="1" ht="9" customHeight="1" x14ac:dyDescent="0.25">
      <c r="A43" s="229"/>
      <c r="B43" s="224"/>
      <c r="C43" s="224"/>
      <c r="D43" s="224"/>
      <c r="E43" s="224"/>
      <c r="F43" s="224"/>
      <c r="G43" s="224"/>
      <c r="H43" s="224"/>
      <c r="I43" s="224"/>
      <c r="J43" s="225"/>
      <c r="K43" s="233"/>
      <c r="L43" s="224"/>
      <c r="M43" s="224"/>
      <c r="N43" s="224"/>
      <c r="O43" s="224"/>
      <c r="P43" s="224"/>
      <c r="Q43" s="224"/>
      <c r="R43" s="224"/>
      <c r="S43" s="224"/>
      <c r="T43" s="225"/>
      <c r="U43" s="222"/>
      <c r="V43" s="224"/>
      <c r="W43" s="224"/>
      <c r="X43" s="224"/>
      <c r="Y43" s="224"/>
      <c r="Z43" s="224"/>
      <c r="AA43" s="224"/>
      <c r="AB43" s="224"/>
      <c r="AC43" s="224"/>
      <c r="AD43" s="225"/>
      <c r="AE43" s="233"/>
      <c r="AF43" s="224"/>
      <c r="AG43" s="224"/>
      <c r="AH43" s="224"/>
      <c r="AI43" s="224"/>
      <c r="AJ43" s="224"/>
      <c r="AK43" s="224"/>
      <c r="AL43" s="224"/>
      <c r="AM43" s="224"/>
      <c r="AN43" s="225"/>
      <c r="AO43" s="232"/>
      <c r="AP43" s="224"/>
      <c r="AQ43" s="224"/>
      <c r="AR43" s="224"/>
      <c r="AS43" s="224"/>
      <c r="AT43" s="224"/>
      <c r="AU43" s="224"/>
      <c r="AV43" s="224"/>
      <c r="AW43" s="224"/>
      <c r="AX43" s="225"/>
      <c r="AY43" s="233"/>
      <c r="AZ43" s="224"/>
      <c r="BA43" s="224"/>
      <c r="BB43" s="224"/>
      <c r="BC43" s="224"/>
      <c r="BD43" s="224"/>
      <c r="BE43" s="224"/>
      <c r="BF43" s="224"/>
      <c r="BG43" s="224"/>
      <c r="BH43" s="225"/>
      <c r="BI43" s="233"/>
      <c r="BJ43" s="240"/>
      <c r="BK43" s="241"/>
      <c r="BL43" s="241"/>
      <c r="BM43" s="241"/>
      <c r="BN43" s="241"/>
      <c r="BO43" s="241"/>
      <c r="BP43" s="241"/>
      <c r="BQ43" s="241"/>
      <c r="BR43" s="242"/>
    </row>
    <row r="44" spans="1:70" s="235" customFormat="1" ht="9" customHeight="1" x14ac:dyDescent="0.25">
      <c r="A44" s="229"/>
      <c r="B44" s="212"/>
      <c r="C44" s="212"/>
      <c r="D44" s="212"/>
      <c r="E44" s="212"/>
      <c r="F44" s="212"/>
      <c r="G44" s="212"/>
      <c r="H44" s="212"/>
      <c r="I44" s="212"/>
      <c r="J44" s="214"/>
      <c r="K44" s="233"/>
      <c r="L44" s="212"/>
      <c r="M44" s="212"/>
      <c r="N44" s="212"/>
      <c r="O44" s="212"/>
      <c r="P44" s="212"/>
      <c r="Q44" s="212"/>
      <c r="R44" s="212"/>
      <c r="S44" s="212"/>
      <c r="T44" s="214"/>
      <c r="U44" s="222"/>
      <c r="V44" s="212"/>
      <c r="W44" s="212"/>
      <c r="X44" s="212"/>
      <c r="Y44" s="212"/>
      <c r="Z44" s="212"/>
      <c r="AA44" s="212"/>
      <c r="AB44" s="212"/>
      <c r="AC44" s="212"/>
      <c r="AD44" s="214"/>
      <c r="AE44" s="233"/>
      <c r="AF44" s="212"/>
      <c r="AG44" s="212"/>
      <c r="AH44" s="212"/>
      <c r="AI44" s="212"/>
      <c r="AJ44" s="212"/>
      <c r="AK44" s="212"/>
      <c r="AL44" s="212"/>
      <c r="AM44" s="212"/>
      <c r="AN44" s="214"/>
      <c r="AO44" s="231"/>
      <c r="AP44" s="213"/>
      <c r="AQ44" s="212"/>
      <c r="AR44" s="212"/>
      <c r="AS44" s="212"/>
      <c r="AT44" s="212"/>
      <c r="AU44" s="212"/>
      <c r="AV44" s="212"/>
      <c r="AW44" s="212"/>
      <c r="AX44" s="214"/>
      <c r="AY44" s="233"/>
      <c r="AZ44" s="212"/>
      <c r="BA44" s="212"/>
      <c r="BB44" s="212"/>
      <c r="BC44" s="212"/>
      <c r="BD44" s="212"/>
      <c r="BE44" s="212"/>
      <c r="BF44" s="212"/>
      <c r="BG44" s="212"/>
      <c r="BH44" s="214"/>
      <c r="BI44" s="233"/>
      <c r="BJ44" s="546" t="s">
        <v>605</v>
      </c>
      <c r="BK44" s="547"/>
      <c r="BL44" s="547"/>
      <c r="BM44" s="547"/>
      <c r="BN44" s="547"/>
      <c r="BO44" s="547"/>
      <c r="BP44" s="547"/>
      <c r="BQ44" s="547"/>
      <c r="BR44" s="548"/>
    </row>
    <row r="45" spans="1:70" s="235" customFormat="1" ht="9" customHeight="1" x14ac:dyDescent="0.25">
      <c r="B45" s="543" t="s">
        <v>606</v>
      </c>
      <c r="C45" s="543"/>
      <c r="D45" s="543"/>
      <c r="E45" s="543"/>
      <c r="F45" s="543"/>
      <c r="G45" s="542">
        <f>CEILING(5313*B3,1)</f>
        <v>10095</v>
      </c>
      <c r="H45" s="542"/>
      <c r="I45" s="542"/>
      <c r="J45" s="542"/>
      <c r="K45" s="199"/>
      <c r="L45" s="543" t="s">
        <v>607</v>
      </c>
      <c r="M45" s="543"/>
      <c r="N45" s="543"/>
      <c r="O45" s="543"/>
      <c r="P45" s="543"/>
      <c r="Q45" s="542">
        <f>CEILING(5402*B3,1)</f>
        <v>10264</v>
      </c>
      <c r="R45" s="542"/>
      <c r="S45" s="542"/>
      <c r="T45" s="542"/>
      <c r="U45" s="200"/>
      <c r="V45" s="543" t="s">
        <v>563</v>
      </c>
      <c r="W45" s="543"/>
      <c r="X45" s="543"/>
      <c r="Y45" s="543"/>
      <c r="Z45" s="543"/>
      <c r="AA45" s="542">
        <f>CEILING(5882*B3,1)</f>
        <v>11176</v>
      </c>
      <c r="AB45" s="542"/>
      <c r="AC45" s="542"/>
      <c r="AD45" s="542"/>
      <c r="AE45" s="199"/>
      <c r="AF45" s="543" t="s">
        <v>608</v>
      </c>
      <c r="AG45" s="543"/>
      <c r="AH45" s="543"/>
      <c r="AI45" s="543"/>
      <c r="AJ45" s="543"/>
      <c r="AK45" s="542">
        <f>CEILING(7558*B3,1)</f>
        <v>14361</v>
      </c>
      <c r="AL45" s="542"/>
      <c r="AM45" s="542"/>
      <c r="AN45" s="542"/>
      <c r="AO45" s="199"/>
      <c r="AP45" s="543" t="s">
        <v>609</v>
      </c>
      <c r="AQ45" s="543"/>
      <c r="AR45" s="543"/>
      <c r="AS45" s="543"/>
      <c r="AT45" s="543"/>
      <c r="AU45" s="542">
        <f>CEILING(13855*B3,1)</f>
        <v>26325</v>
      </c>
      <c r="AV45" s="542"/>
      <c r="AW45" s="542"/>
      <c r="AX45" s="542"/>
      <c r="AY45" s="199"/>
      <c r="AZ45" s="543" t="s">
        <v>610</v>
      </c>
      <c r="BA45" s="543"/>
      <c r="BB45" s="543"/>
      <c r="BC45" s="543"/>
      <c r="BD45" s="543"/>
      <c r="BE45" s="542">
        <f>CEILING(20152*B3,1)</f>
        <v>38289</v>
      </c>
      <c r="BF45" s="542"/>
      <c r="BG45" s="542"/>
      <c r="BH45" s="542"/>
      <c r="BI45" s="199"/>
      <c r="BJ45" s="543" t="s">
        <v>609</v>
      </c>
      <c r="BK45" s="543"/>
      <c r="BL45" s="543"/>
      <c r="BM45" s="543"/>
      <c r="BN45" s="543"/>
      <c r="BO45" s="542">
        <f>CEILING(13124*B3,1)</f>
        <v>24936</v>
      </c>
      <c r="BP45" s="542"/>
      <c r="BQ45" s="542"/>
      <c r="BR45" s="542"/>
    </row>
    <row r="46" spans="1:70" s="211" customFormat="1" ht="1.5" customHeight="1" x14ac:dyDescent="0.25">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27"/>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row>
    <row r="47" spans="1:70" s="211" customFormat="1" ht="9" customHeight="1" x14ac:dyDescent="0.25">
      <c r="B47" s="556" t="s">
        <v>611</v>
      </c>
      <c r="C47" s="557"/>
      <c r="D47" s="558"/>
      <c r="E47" s="554" t="s">
        <v>612</v>
      </c>
      <c r="F47" s="554"/>
      <c r="G47" s="554"/>
      <c r="H47" s="554"/>
      <c r="I47" s="554"/>
      <c r="J47" s="555"/>
      <c r="K47" s="212"/>
      <c r="L47" s="556" t="s">
        <v>613</v>
      </c>
      <c r="M47" s="557"/>
      <c r="N47" s="558"/>
      <c r="O47" s="554" t="s">
        <v>612</v>
      </c>
      <c r="P47" s="554"/>
      <c r="Q47" s="554"/>
      <c r="R47" s="554"/>
      <c r="S47" s="554"/>
      <c r="T47" s="555"/>
      <c r="U47" s="212"/>
      <c r="V47" s="556" t="s">
        <v>614</v>
      </c>
      <c r="W47" s="557"/>
      <c r="X47" s="558"/>
      <c r="Y47" s="554" t="s">
        <v>615</v>
      </c>
      <c r="Z47" s="554"/>
      <c r="AA47" s="554"/>
      <c r="AB47" s="554"/>
      <c r="AC47" s="554"/>
      <c r="AD47" s="555"/>
      <c r="AE47" s="212"/>
      <c r="AF47" s="556" t="s">
        <v>616</v>
      </c>
      <c r="AG47" s="557"/>
      <c r="AH47" s="558"/>
      <c r="AI47" s="554" t="s">
        <v>615</v>
      </c>
      <c r="AJ47" s="554"/>
      <c r="AK47" s="554"/>
      <c r="AL47" s="554"/>
      <c r="AM47" s="554"/>
      <c r="AN47" s="555"/>
      <c r="AO47" s="212"/>
      <c r="AP47" s="556" t="s">
        <v>617</v>
      </c>
      <c r="AQ47" s="557"/>
      <c r="AR47" s="558"/>
      <c r="AS47" s="554" t="s">
        <v>565</v>
      </c>
      <c r="AT47" s="554"/>
      <c r="AU47" s="554"/>
      <c r="AV47" s="554"/>
      <c r="AW47" s="554"/>
      <c r="AX47" s="555"/>
      <c r="AY47" s="212"/>
      <c r="AZ47" s="556" t="s">
        <v>618</v>
      </c>
      <c r="BA47" s="557"/>
      <c r="BB47" s="558"/>
      <c r="BC47" s="554" t="s">
        <v>565</v>
      </c>
      <c r="BD47" s="554"/>
      <c r="BE47" s="554"/>
      <c r="BF47" s="554"/>
      <c r="BG47" s="554"/>
      <c r="BH47" s="555"/>
      <c r="BI47" s="212"/>
      <c r="BJ47" s="556" t="s">
        <v>619</v>
      </c>
      <c r="BK47" s="557"/>
      <c r="BL47" s="558"/>
      <c r="BM47" s="554" t="s">
        <v>543</v>
      </c>
      <c r="BN47" s="554"/>
      <c r="BO47" s="554"/>
      <c r="BP47" s="554"/>
      <c r="BQ47" s="554"/>
      <c r="BR47" s="555"/>
    </row>
    <row r="48" spans="1:70" s="216" customFormat="1" ht="9" customHeight="1" x14ac:dyDescent="0.25">
      <c r="B48" s="223"/>
      <c r="C48" s="224"/>
      <c r="D48" s="224"/>
      <c r="E48" s="224"/>
      <c r="F48" s="224"/>
      <c r="G48" s="224"/>
      <c r="H48" s="224"/>
      <c r="I48" s="224"/>
      <c r="J48" s="225"/>
      <c r="K48" s="218"/>
      <c r="L48" s="223"/>
      <c r="M48" s="224"/>
      <c r="N48" s="224"/>
      <c r="O48" s="224"/>
      <c r="P48" s="224"/>
      <c r="Q48" s="224"/>
      <c r="R48" s="224"/>
      <c r="S48" s="224"/>
      <c r="T48" s="225"/>
      <c r="U48" s="218"/>
      <c r="V48" s="223"/>
      <c r="W48" s="224"/>
      <c r="X48" s="224"/>
      <c r="Y48" s="224"/>
      <c r="Z48" s="224"/>
      <c r="AA48" s="224"/>
      <c r="AB48" s="224"/>
      <c r="AC48" s="224"/>
      <c r="AD48" s="225"/>
      <c r="AE48" s="218"/>
      <c r="AF48" s="223"/>
      <c r="AG48" s="224"/>
      <c r="AH48" s="224"/>
      <c r="AI48" s="224"/>
      <c r="AJ48" s="224"/>
      <c r="AK48" s="224"/>
      <c r="AL48" s="224"/>
      <c r="AM48" s="224"/>
      <c r="AN48" s="225"/>
      <c r="AO48" s="218"/>
      <c r="AP48" s="546" t="s">
        <v>620</v>
      </c>
      <c r="AQ48" s="547"/>
      <c r="AR48" s="547"/>
      <c r="AS48" s="547"/>
      <c r="AT48" s="547"/>
      <c r="AU48" s="547"/>
      <c r="AV48" s="547"/>
      <c r="AW48" s="547"/>
      <c r="AX48" s="548"/>
      <c r="AY48" s="218"/>
      <c r="AZ48" s="546" t="s">
        <v>620</v>
      </c>
      <c r="BA48" s="547"/>
      <c r="BB48" s="547"/>
      <c r="BC48" s="547"/>
      <c r="BD48" s="547"/>
      <c r="BE48" s="547"/>
      <c r="BF48" s="547"/>
      <c r="BG48" s="547"/>
      <c r="BH48" s="548"/>
      <c r="BI48" s="218"/>
      <c r="BJ48" s="546" t="s">
        <v>620</v>
      </c>
      <c r="BK48" s="547"/>
      <c r="BL48" s="547"/>
      <c r="BM48" s="547"/>
      <c r="BN48" s="547"/>
      <c r="BO48" s="547"/>
      <c r="BP48" s="547"/>
      <c r="BQ48" s="547"/>
      <c r="BR48" s="548"/>
    </row>
    <row r="49" spans="2:70" s="216" customFormat="1" ht="9" customHeight="1" x14ac:dyDescent="0.25">
      <c r="B49" s="217"/>
      <c r="C49" s="218"/>
      <c r="D49" s="218"/>
      <c r="E49" s="218"/>
      <c r="F49" s="218"/>
      <c r="G49" s="218"/>
      <c r="H49" s="218"/>
      <c r="I49" s="218"/>
      <c r="J49" s="219"/>
      <c r="K49" s="218"/>
      <c r="L49" s="217"/>
      <c r="M49" s="218"/>
      <c r="N49" s="218"/>
      <c r="O49" s="218"/>
      <c r="P49" s="218"/>
      <c r="Q49" s="218"/>
      <c r="R49" s="218"/>
      <c r="S49" s="218"/>
      <c r="T49" s="219"/>
      <c r="U49" s="218"/>
      <c r="V49" s="217"/>
      <c r="W49" s="218"/>
      <c r="X49" s="218"/>
      <c r="Y49" s="218"/>
      <c r="Z49" s="218"/>
      <c r="AA49" s="218"/>
      <c r="AB49" s="218"/>
      <c r="AC49" s="218"/>
      <c r="AD49" s="219"/>
      <c r="AE49" s="218"/>
      <c r="AF49" s="217"/>
      <c r="AG49" s="218"/>
      <c r="AH49" s="218"/>
      <c r="AI49" s="218"/>
      <c r="AJ49" s="218"/>
      <c r="AK49" s="218"/>
      <c r="AL49" s="218"/>
      <c r="AM49" s="218"/>
      <c r="AN49" s="219"/>
      <c r="AO49" s="218"/>
      <c r="AP49" s="217"/>
      <c r="AQ49" s="218"/>
      <c r="AR49" s="218"/>
      <c r="AS49" s="218"/>
      <c r="AT49" s="218"/>
      <c r="AU49" s="218"/>
      <c r="AV49" s="218"/>
      <c r="AW49" s="218"/>
      <c r="AX49" s="219"/>
      <c r="AY49" s="218"/>
      <c r="AZ49" s="217"/>
      <c r="BA49" s="218"/>
      <c r="BB49" s="218"/>
      <c r="BC49" s="218"/>
      <c r="BD49" s="218"/>
      <c r="BE49" s="218"/>
      <c r="BF49" s="218"/>
      <c r="BG49" s="218"/>
      <c r="BH49" s="219"/>
      <c r="BI49" s="218"/>
      <c r="BJ49" s="217"/>
      <c r="BK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19"/>
      <c r="K50" s="218"/>
      <c r="L50" s="217"/>
      <c r="M50" s="218"/>
      <c r="N50" s="218"/>
      <c r="O50" s="218"/>
      <c r="P50" s="218"/>
      <c r="Q50" s="218"/>
      <c r="R50" s="218"/>
      <c r="S50" s="218"/>
      <c r="T50" s="219"/>
      <c r="U50" s="218"/>
      <c r="V50" s="217"/>
      <c r="W50" s="218"/>
      <c r="X50" s="218"/>
      <c r="Y50" s="218"/>
      <c r="Z50" s="218"/>
      <c r="AA50" s="218"/>
      <c r="AB50" s="218"/>
      <c r="AC50" s="218"/>
      <c r="AD50" s="219"/>
      <c r="AE50" s="218"/>
      <c r="AF50" s="217"/>
      <c r="AG50" s="218"/>
      <c r="AH50" s="218"/>
      <c r="AI50" s="218"/>
      <c r="AJ50" s="218"/>
      <c r="AK50" s="218"/>
      <c r="AL50" s="218"/>
      <c r="AM50" s="218"/>
      <c r="AN50" s="219"/>
      <c r="AO50" s="218"/>
      <c r="AP50" s="217"/>
      <c r="AQ50" s="218"/>
      <c r="AR50" s="218"/>
      <c r="AS50" s="218"/>
      <c r="AT50" s="218"/>
      <c r="AU50" s="218"/>
      <c r="AV50" s="218"/>
      <c r="AW50" s="218"/>
      <c r="AX50" s="219"/>
      <c r="AY50" s="218"/>
      <c r="AZ50" s="217"/>
      <c r="BA50" s="218"/>
      <c r="BB50" s="218"/>
      <c r="BC50" s="218"/>
      <c r="BD50" s="218"/>
      <c r="BE50" s="218"/>
      <c r="BF50" s="218"/>
      <c r="BG50" s="218"/>
      <c r="BH50" s="219"/>
      <c r="BI50" s="218"/>
      <c r="BJ50" s="217"/>
      <c r="BK50" s="218"/>
      <c r="BL50" s="218"/>
      <c r="BM50" s="218"/>
      <c r="BN50" s="218"/>
      <c r="BO50" s="218"/>
      <c r="BP50" s="218"/>
      <c r="BQ50" s="218"/>
      <c r="BR50" s="219"/>
    </row>
    <row r="51" spans="2:70" s="211" customFormat="1" ht="9" customHeight="1" x14ac:dyDescent="0.25">
      <c r="B51" s="213"/>
      <c r="C51" s="212"/>
      <c r="D51" s="212"/>
      <c r="E51" s="212"/>
      <c r="F51" s="212"/>
      <c r="G51" s="212"/>
      <c r="H51" s="212"/>
      <c r="I51" s="212"/>
      <c r="J51" s="214"/>
      <c r="K51" s="212"/>
      <c r="L51" s="213"/>
      <c r="M51" s="212"/>
      <c r="N51" s="212"/>
      <c r="O51" s="212"/>
      <c r="P51" s="212"/>
      <c r="Q51" s="212"/>
      <c r="R51" s="212"/>
      <c r="S51" s="212"/>
      <c r="T51" s="214"/>
      <c r="U51" s="212"/>
      <c r="V51" s="213"/>
      <c r="W51" s="212"/>
      <c r="X51" s="212"/>
      <c r="Y51" s="212"/>
      <c r="Z51" s="212"/>
      <c r="AA51" s="212"/>
      <c r="AB51" s="212"/>
      <c r="AC51" s="212"/>
      <c r="AD51" s="214"/>
      <c r="AE51" s="212"/>
      <c r="AF51" s="213"/>
      <c r="AG51" s="212"/>
      <c r="AH51" s="212"/>
      <c r="AI51" s="212"/>
      <c r="AJ51" s="212"/>
      <c r="AK51" s="212"/>
      <c r="AL51" s="212"/>
      <c r="AM51" s="212"/>
      <c r="AN51" s="214"/>
      <c r="AO51" s="212"/>
      <c r="AP51" s="213"/>
      <c r="AQ51" s="212"/>
      <c r="AR51" s="212"/>
      <c r="AS51" s="212"/>
      <c r="AT51" s="212"/>
      <c r="AU51" s="212"/>
      <c r="AV51" s="212"/>
      <c r="AW51" s="212"/>
      <c r="AX51" s="214"/>
      <c r="AY51" s="212"/>
      <c r="AZ51" s="213"/>
      <c r="BA51" s="212"/>
      <c r="BB51" s="212"/>
      <c r="BC51" s="212"/>
      <c r="BD51" s="212"/>
      <c r="BE51" s="212"/>
      <c r="BF51" s="212"/>
      <c r="BG51" s="212"/>
      <c r="BH51" s="214"/>
      <c r="BI51" s="212"/>
      <c r="BJ51" s="213"/>
      <c r="BK51" s="212"/>
      <c r="BL51" s="212"/>
      <c r="BM51" s="212"/>
      <c r="BN51" s="212"/>
      <c r="BO51" s="212"/>
      <c r="BP51" s="212"/>
      <c r="BQ51" s="212"/>
      <c r="BR51" s="214"/>
    </row>
    <row r="52" spans="2:70" s="235" customFormat="1" ht="9" customHeight="1" x14ac:dyDescent="0.25">
      <c r="B52" s="230"/>
      <c r="C52" s="231"/>
      <c r="D52" s="231"/>
      <c r="E52" s="231"/>
      <c r="F52" s="231"/>
      <c r="G52" s="231"/>
      <c r="H52" s="231"/>
      <c r="I52" s="231"/>
      <c r="J52" s="232"/>
      <c r="K52" s="231"/>
      <c r="L52" s="230"/>
      <c r="M52" s="231"/>
      <c r="N52" s="231"/>
      <c r="O52" s="231"/>
      <c r="P52" s="231"/>
      <c r="Q52" s="231"/>
      <c r="R52" s="231"/>
      <c r="S52" s="231"/>
      <c r="T52" s="232"/>
      <c r="U52" s="231"/>
      <c r="V52" s="230"/>
      <c r="W52" s="231"/>
      <c r="X52" s="231"/>
      <c r="Y52" s="231"/>
      <c r="Z52" s="231"/>
      <c r="AA52" s="231"/>
      <c r="AB52" s="231"/>
      <c r="AC52" s="231"/>
      <c r="AD52" s="232"/>
      <c r="AE52" s="231"/>
      <c r="AF52" s="230"/>
      <c r="AG52" s="231"/>
      <c r="AH52" s="231"/>
      <c r="AI52" s="231"/>
      <c r="AJ52" s="231"/>
      <c r="AK52" s="231"/>
      <c r="AL52" s="231"/>
      <c r="AM52" s="231"/>
      <c r="AN52" s="232"/>
      <c r="AO52" s="231"/>
      <c r="AP52" s="230"/>
      <c r="AQ52" s="231"/>
      <c r="AR52" s="231"/>
      <c r="AS52" s="231"/>
      <c r="AT52" s="231"/>
      <c r="AU52" s="231"/>
      <c r="AV52" s="231"/>
      <c r="AW52" s="231"/>
      <c r="AX52" s="232"/>
      <c r="AY52" s="231"/>
      <c r="AZ52" s="230"/>
      <c r="BA52" s="231"/>
      <c r="BB52" s="231"/>
      <c r="BC52" s="231"/>
      <c r="BD52" s="231"/>
      <c r="BE52" s="231"/>
      <c r="BF52" s="231"/>
      <c r="BG52" s="231"/>
      <c r="BH52" s="232"/>
      <c r="BI52" s="231"/>
      <c r="BJ52" s="230"/>
      <c r="BK52" s="231"/>
      <c r="BL52" s="231"/>
      <c r="BM52" s="231"/>
      <c r="BN52" s="231"/>
      <c r="BO52" s="231"/>
      <c r="BP52" s="231"/>
      <c r="BQ52" s="231"/>
      <c r="BR52" s="232"/>
    </row>
    <row r="53" spans="2:70" s="235" customFormat="1" ht="9" customHeight="1" x14ac:dyDescent="0.25">
      <c r="B53" s="230"/>
      <c r="C53" s="231"/>
      <c r="D53" s="231"/>
      <c r="E53" s="231"/>
      <c r="F53" s="231"/>
      <c r="G53" s="231"/>
      <c r="H53" s="231"/>
      <c r="I53" s="231"/>
      <c r="J53" s="232"/>
      <c r="K53" s="231"/>
      <c r="L53" s="230"/>
      <c r="M53" s="231"/>
      <c r="N53" s="231"/>
      <c r="O53" s="231"/>
      <c r="P53" s="231"/>
      <c r="Q53" s="231"/>
      <c r="R53" s="231"/>
      <c r="S53" s="231"/>
      <c r="T53" s="232"/>
      <c r="U53" s="231"/>
      <c r="V53" s="230"/>
      <c r="W53" s="231"/>
      <c r="X53" s="231"/>
      <c r="Y53" s="231"/>
      <c r="Z53" s="231"/>
      <c r="AA53" s="231"/>
      <c r="AB53" s="231"/>
      <c r="AC53" s="231"/>
      <c r="AD53" s="232"/>
      <c r="AE53" s="231"/>
      <c r="AF53" s="230"/>
      <c r="AG53" s="231"/>
      <c r="AH53" s="231"/>
      <c r="AI53" s="231"/>
      <c r="AJ53" s="231"/>
      <c r="AK53" s="231"/>
      <c r="AL53" s="231"/>
      <c r="AM53" s="231"/>
      <c r="AN53" s="232"/>
      <c r="AO53" s="231"/>
      <c r="AP53" s="230"/>
      <c r="AQ53" s="231"/>
      <c r="AR53" s="231"/>
      <c r="AS53" s="231"/>
      <c r="AT53" s="231"/>
      <c r="AU53" s="231"/>
      <c r="AV53" s="231"/>
      <c r="AW53" s="231"/>
      <c r="AX53" s="232"/>
      <c r="AY53" s="231"/>
      <c r="AZ53" s="230"/>
      <c r="BA53" s="231"/>
      <c r="BB53" s="231"/>
      <c r="BC53" s="231"/>
      <c r="BD53" s="231"/>
      <c r="BE53" s="231"/>
      <c r="BF53" s="231"/>
      <c r="BG53" s="231"/>
      <c r="BH53" s="232"/>
      <c r="BI53" s="231"/>
      <c r="BJ53" s="230"/>
      <c r="BK53" s="231"/>
      <c r="BL53" s="231"/>
      <c r="BM53" s="231"/>
      <c r="BN53" s="231"/>
      <c r="BO53" s="231"/>
      <c r="BP53" s="231"/>
      <c r="BQ53" s="231"/>
      <c r="BR53" s="232"/>
    </row>
    <row r="54" spans="2:70" s="235" customFormat="1" ht="9" customHeight="1" x14ac:dyDescent="0.25">
      <c r="B54" s="230"/>
      <c r="C54" s="231"/>
      <c r="D54" s="231"/>
      <c r="E54" s="231"/>
      <c r="F54" s="231"/>
      <c r="G54" s="231"/>
      <c r="H54" s="231"/>
      <c r="I54" s="231"/>
      <c r="J54" s="232"/>
      <c r="K54" s="231"/>
      <c r="L54" s="230"/>
      <c r="M54" s="231"/>
      <c r="N54" s="231"/>
      <c r="O54" s="231"/>
      <c r="P54" s="231"/>
      <c r="Q54" s="231"/>
      <c r="R54" s="231"/>
      <c r="S54" s="231"/>
      <c r="T54" s="232"/>
      <c r="U54" s="231"/>
      <c r="V54" s="230"/>
      <c r="W54" s="231"/>
      <c r="X54" s="231"/>
      <c r="Y54" s="231"/>
      <c r="Z54" s="231"/>
      <c r="AA54" s="231"/>
      <c r="AB54" s="231"/>
      <c r="AC54" s="231"/>
      <c r="AD54" s="232"/>
      <c r="AE54" s="231"/>
      <c r="AF54" s="230"/>
      <c r="AG54" s="231"/>
      <c r="AH54" s="231"/>
      <c r="AI54" s="231"/>
      <c r="AJ54" s="231"/>
      <c r="AK54" s="231"/>
      <c r="AL54" s="231"/>
      <c r="AM54" s="231"/>
      <c r="AN54" s="232"/>
      <c r="AO54" s="231"/>
      <c r="AP54" s="230"/>
      <c r="AQ54" s="231"/>
      <c r="AR54" s="231"/>
      <c r="AS54" s="231"/>
      <c r="AT54" s="231"/>
      <c r="AU54" s="231"/>
      <c r="AV54" s="231"/>
      <c r="AW54" s="231"/>
      <c r="AX54" s="232"/>
      <c r="AY54" s="231"/>
      <c r="AZ54" s="230"/>
      <c r="BA54" s="231"/>
      <c r="BB54" s="231"/>
      <c r="BC54" s="231"/>
      <c r="BD54" s="231"/>
      <c r="BE54" s="231"/>
      <c r="BF54" s="231"/>
      <c r="BG54" s="231"/>
      <c r="BH54" s="232"/>
      <c r="BI54" s="231"/>
      <c r="BJ54" s="230"/>
      <c r="BK54" s="231"/>
      <c r="BL54" s="231"/>
      <c r="BM54" s="231"/>
      <c r="BN54" s="231"/>
      <c r="BO54" s="231"/>
      <c r="BP54" s="231"/>
      <c r="BQ54" s="231"/>
      <c r="BR54" s="232"/>
    </row>
    <row r="55" spans="2:70" s="235" customFormat="1" ht="9" customHeight="1" x14ac:dyDescent="0.25">
      <c r="B55" s="230"/>
      <c r="C55" s="231"/>
      <c r="D55" s="231"/>
      <c r="E55" s="231"/>
      <c r="F55" s="231"/>
      <c r="G55" s="231"/>
      <c r="H55" s="231"/>
      <c r="I55" s="231"/>
      <c r="J55" s="232"/>
      <c r="K55" s="231"/>
      <c r="L55" s="230"/>
      <c r="M55" s="231"/>
      <c r="N55" s="231"/>
      <c r="O55" s="231"/>
      <c r="P55" s="231"/>
      <c r="Q55" s="231"/>
      <c r="R55" s="231"/>
      <c r="S55" s="231"/>
      <c r="T55" s="232"/>
      <c r="U55" s="231"/>
      <c r="V55" s="230"/>
      <c r="W55" s="231"/>
      <c r="X55" s="231"/>
      <c r="Y55" s="231"/>
      <c r="Z55" s="231"/>
      <c r="AA55" s="231"/>
      <c r="AB55" s="231"/>
      <c r="AC55" s="231"/>
      <c r="AD55" s="232"/>
      <c r="AE55" s="231"/>
      <c r="AF55" s="230"/>
      <c r="AG55" s="231"/>
      <c r="AH55" s="231"/>
      <c r="AI55" s="231"/>
      <c r="AJ55" s="231"/>
      <c r="AK55" s="231"/>
      <c r="AL55" s="231"/>
      <c r="AM55" s="231"/>
      <c r="AN55" s="232"/>
      <c r="AO55" s="231"/>
      <c r="AP55" s="230"/>
      <c r="AQ55" s="231"/>
      <c r="AR55" s="231"/>
      <c r="AS55" s="231"/>
      <c r="AT55" s="231"/>
      <c r="AU55" s="231"/>
      <c r="AV55" s="231"/>
      <c r="AW55" s="231"/>
      <c r="AX55" s="232"/>
      <c r="AY55" s="231"/>
      <c r="AZ55" s="230"/>
      <c r="BA55" s="231"/>
      <c r="BB55" s="231"/>
      <c r="BC55" s="231"/>
      <c r="BD55" s="231"/>
      <c r="BE55" s="231"/>
      <c r="BF55" s="231"/>
      <c r="BG55" s="231"/>
      <c r="BH55" s="232"/>
      <c r="BI55" s="231"/>
      <c r="BJ55" s="230"/>
      <c r="BK55" s="231"/>
      <c r="BL55" s="231"/>
      <c r="BM55" s="231"/>
      <c r="BN55" s="231"/>
      <c r="BO55" s="231"/>
      <c r="BP55" s="231"/>
      <c r="BQ55" s="231"/>
      <c r="BR55" s="232"/>
    </row>
    <row r="56" spans="2:70" s="235" customFormat="1" ht="9" customHeight="1" x14ac:dyDescent="0.25">
      <c r="B56" s="230"/>
      <c r="C56" s="231"/>
      <c r="D56" s="231"/>
      <c r="E56" s="231"/>
      <c r="F56" s="231"/>
      <c r="G56" s="231"/>
      <c r="H56" s="231"/>
      <c r="I56" s="231"/>
      <c r="J56" s="232"/>
      <c r="K56" s="231"/>
      <c r="L56" s="230"/>
      <c r="M56" s="231"/>
      <c r="N56" s="231"/>
      <c r="O56" s="231"/>
      <c r="P56" s="231"/>
      <c r="Q56" s="231"/>
      <c r="R56" s="231"/>
      <c r="S56" s="231"/>
      <c r="T56" s="232"/>
      <c r="U56" s="231"/>
      <c r="V56" s="230"/>
      <c r="W56" s="231"/>
      <c r="X56" s="231"/>
      <c r="Y56" s="231"/>
      <c r="Z56" s="231"/>
      <c r="AA56" s="231"/>
      <c r="AB56" s="231"/>
      <c r="AC56" s="231"/>
      <c r="AD56" s="232"/>
      <c r="AE56" s="231"/>
      <c r="AF56" s="230"/>
      <c r="AG56" s="231"/>
      <c r="AH56" s="231"/>
      <c r="AI56" s="231"/>
      <c r="AJ56" s="231"/>
      <c r="AK56" s="231"/>
      <c r="AL56" s="231"/>
      <c r="AM56" s="231"/>
      <c r="AN56" s="232"/>
      <c r="AO56" s="231"/>
      <c r="AP56" s="230"/>
      <c r="AQ56" s="231"/>
      <c r="AR56" s="231"/>
      <c r="AS56" s="231"/>
      <c r="AT56" s="231"/>
      <c r="AU56" s="231"/>
      <c r="AV56" s="231"/>
      <c r="AW56" s="231"/>
      <c r="AX56" s="232"/>
      <c r="AY56" s="231"/>
      <c r="AZ56" s="230"/>
      <c r="BA56" s="231"/>
      <c r="BB56" s="231"/>
      <c r="BC56" s="231"/>
      <c r="BD56" s="231"/>
      <c r="BE56" s="231"/>
      <c r="BF56" s="231"/>
      <c r="BG56" s="231"/>
      <c r="BH56" s="232"/>
      <c r="BI56" s="231"/>
      <c r="BJ56" s="230"/>
      <c r="BK56" s="231"/>
      <c r="BL56" s="231"/>
      <c r="BM56" s="231"/>
      <c r="BN56" s="231"/>
      <c r="BO56" s="231"/>
      <c r="BP56" s="231"/>
      <c r="BQ56" s="231"/>
      <c r="BR56" s="232"/>
    </row>
    <row r="57" spans="2:70" s="211" customFormat="1" ht="9" customHeight="1" x14ac:dyDescent="0.25">
      <c r="B57" s="213"/>
      <c r="C57" s="212"/>
      <c r="D57" s="212"/>
      <c r="E57" s="212"/>
      <c r="F57" s="212"/>
      <c r="G57" s="212"/>
      <c r="H57" s="212"/>
      <c r="I57" s="212"/>
      <c r="J57" s="214"/>
      <c r="K57" s="212"/>
      <c r="L57" s="213"/>
      <c r="M57" s="212"/>
      <c r="N57" s="212"/>
      <c r="O57" s="212"/>
      <c r="P57" s="212"/>
      <c r="Q57" s="212"/>
      <c r="R57" s="212"/>
      <c r="S57" s="212"/>
      <c r="T57" s="214"/>
      <c r="U57" s="212"/>
      <c r="V57" s="213"/>
      <c r="W57" s="212"/>
      <c r="X57" s="212"/>
      <c r="Y57" s="212"/>
      <c r="Z57" s="212"/>
      <c r="AA57" s="212"/>
      <c r="AB57" s="212"/>
      <c r="AC57" s="212"/>
      <c r="AD57" s="214"/>
      <c r="AE57" s="212"/>
      <c r="AF57" s="213"/>
      <c r="AG57" s="212"/>
      <c r="AH57" s="212"/>
      <c r="AI57" s="212"/>
      <c r="AJ57" s="212"/>
      <c r="AK57" s="212"/>
      <c r="AL57" s="212"/>
      <c r="AM57" s="212"/>
      <c r="AN57" s="214"/>
      <c r="AO57" s="212"/>
      <c r="AP57" s="213"/>
      <c r="AQ57" s="212"/>
      <c r="AR57" s="212"/>
      <c r="AS57" s="212"/>
      <c r="AT57" s="212"/>
      <c r="AU57" s="212"/>
      <c r="AV57" s="212"/>
      <c r="AW57" s="212"/>
      <c r="AX57" s="214"/>
      <c r="AY57" s="212"/>
      <c r="AZ57" s="213"/>
      <c r="BA57" s="212"/>
      <c r="BB57" s="212"/>
      <c r="BC57" s="212"/>
      <c r="BD57" s="212"/>
      <c r="BE57" s="212"/>
      <c r="BF57" s="212"/>
      <c r="BG57" s="212"/>
      <c r="BH57" s="214"/>
      <c r="BI57" s="212"/>
      <c r="BJ57" s="213"/>
      <c r="BK57" s="212"/>
      <c r="BL57" s="212"/>
      <c r="BM57" s="212"/>
      <c r="BN57" s="212"/>
      <c r="BO57" s="212"/>
      <c r="BP57" s="212"/>
      <c r="BQ57" s="212"/>
      <c r="BR57" s="214"/>
    </row>
    <row r="58" spans="2:70" s="211" customFormat="1" ht="9" customHeight="1" x14ac:dyDescent="0.25">
      <c r="B58" s="223"/>
      <c r="C58" s="224"/>
      <c r="D58" s="224"/>
      <c r="E58" s="224"/>
      <c r="F58" s="224"/>
      <c r="G58" s="224"/>
      <c r="H58" s="224"/>
      <c r="I58" s="224"/>
      <c r="J58" s="225"/>
      <c r="K58" s="212"/>
      <c r="L58" s="223"/>
      <c r="M58" s="224"/>
      <c r="N58" s="224"/>
      <c r="O58" s="224"/>
      <c r="P58" s="224"/>
      <c r="Q58" s="224"/>
      <c r="R58" s="224"/>
      <c r="S58" s="224"/>
      <c r="T58" s="225"/>
      <c r="U58" s="212"/>
      <c r="V58" s="223"/>
      <c r="W58" s="224"/>
      <c r="X58" s="224"/>
      <c r="Y58" s="224"/>
      <c r="Z58" s="224"/>
      <c r="AA58" s="224"/>
      <c r="AB58" s="224"/>
      <c r="AC58" s="224"/>
      <c r="AD58" s="225"/>
      <c r="AE58" s="212"/>
      <c r="AF58" s="223"/>
      <c r="AG58" s="224"/>
      <c r="AH58" s="224"/>
      <c r="AI58" s="224"/>
      <c r="AJ58" s="224"/>
      <c r="AK58" s="224"/>
      <c r="AL58" s="224"/>
      <c r="AM58" s="224"/>
      <c r="AN58" s="225"/>
      <c r="AO58" s="212"/>
      <c r="AP58" s="223"/>
      <c r="AQ58" s="224"/>
      <c r="AR58" s="224"/>
      <c r="AS58" s="224"/>
      <c r="AT58" s="224"/>
      <c r="AU58" s="224"/>
      <c r="AV58" s="224"/>
      <c r="AW58" s="224"/>
      <c r="AX58" s="225"/>
      <c r="AY58" s="212"/>
      <c r="AZ58" s="223"/>
      <c r="BA58" s="224"/>
      <c r="BB58" s="224"/>
      <c r="BC58" s="224"/>
      <c r="BD58" s="224"/>
      <c r="BE58" s="224"/>
      <c r="BF58" s="224"/>
      <c r="BG58" s="224"/>
      <c r="BH58" s="225"/>
      <c r="BI58" s="212"/>
      <c r="BJ58" s="223"/>
      <c r="BK58" s="224"/>
      <c r="BL58" s="224"/>
      <c r="BM58" s="224"/>
      <c r="BN58" s="224"/>
      <c r="BO58" s="224"/>
      <c r="BP58" s="224"/>
      <c r="BQ58" s="224"/>
      <c r="BR58" s="225"/>
    </row>
    <row r="59" spans="2:70" s="211" customFormat="1" ht="9" customHeight="1" x14ac:dyDescent="0.25">
      <c r="B59" s="543" t="s">
        <v>621</v>
      </c>
      <c r="C59" s="543"/>
      <c r="D59" s="543"/>
      <c r="E59" s="543"/>
      <c r="F59" s="543"/>
      <c r="G59" s="542">
        <f>CEILING(2200*B3,1)</f>
        <v>4180</v>
      </c>
      <c r="H59" s="542"/>
      <c r="I59" s="542"/>
      <c r="J59" s="542"/>
      <c r="K59" s="200"/>
      <c r="L59" s="543" t="s">
        <v>622</v>
      </c>
      <c r="M59" s="543"/>
      <c r="N59" s="543"/>
      <c r="O59" s="543"/>
      <c r="P59" s="543"/>
      <c r="Q59" s="542">
        <f>CEILING(8185*B3,1)</f>
        <v>15552</v>
      </c>
      <c r="R59" s="542"/>
      <c r="S59" s="542"/>
      <c r="T59" s="542"/>
      <c r="U59" s="200"/>
      <c r="V59" s="543" t="s">
        <v>623</v>
      </c>
      <c r="W59" s="543"/>
      <c r="X59" s="543"/>
      <c r="Y59" s="543"/>
      <c r="Z59" s="543"/>
      <c r="AA59" s="542">
        <f>CEILING(5257*B3,1)</f>
        <v>9989</v>
      </c>
      <c r="AB59" s="542"/>
      <c r="AC59" s="542"/>
      <c r="AD59" s="542"/>
      <c r="AE59" s="200"/>
      <c r="AF59" s="543" t="s">
        <v>563</v>
      </c>
      <c r="AG59" s="543"/>
      <c r="AH59" s="543"/>
      <c r="AI59" s="543"/>
      <c r="AJ59" s="543"/>
      <c r="AK59" s="542">
        <f>CEILING(3607*B3,1)</f>
        <v>6854</v>
      </c>
      <c r="AL59" s="542"/>
      <c r="AM59" s="542"/>
      <c r="AN59" s="542"/>
      <c r="AO59" s="200"/>
      <c r="AP59" s="543" t="s">
        <v>624</v>
      </c>
      <c r="AQ59" s="543"/>
      <c r="AR59" s="543"/>
      <c r="AS59" s="543"/>
      <c r="AT59" s="543"/>
      <c r="AU59" s="542">
        <f>CEILING(3337*B3,1)</f>
        <v>6341</v>
      </c>
      <c r="AV59" s="542"/>
      <c r="AW59" s="542"/>
      <c r="AX59" s="542"/>
      <c r="AY59" s="200"/>
      <c r="AZ59" s="543" t="s">
        <v>625</v>
      </c>
      <c r="BA59" s="543"/>
      <c r="BB59" s="543"/>
      <c r="BC59" s="543"/>
      <c r="BD59" s="543"/>
      <c r="BE59" s="542">
        <f>CEILING(6222*B3,1)</f>
        <v>11822</v>
      </c>
      <c r="BF59" s="542"/>
      <c r="BG59" s="542"/>
      <c r="BH59" s="542"/>
      <c r="BI59" s="200"/>
      <c r="BJ59" s="543" t="s">
        <v>626</v>
      </c>
      <c r="BK59" s="543"/>
      <c r="BL59" s="543"/>
      <c r="BM59" s="543"/>
      <c r="BN59" s="543"/>
      <c r="BO59" s="542">
        <f>CEILING(2796*B3,1)</f>
        <v>5313</v>
      </c>
      <c r="BP59" s="542"/>
      <c r="BQ59" s="542"/>
      <c r="BR59" s="542"/>
    </row>
    <row r="60" spans="2:70" s="211" customFormat="1" ht="1.5" customHeight="1" x14ac:dyDescent="0.25">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row>
    <row r="61" spans="2:70" s="211" customFormat="1" ht="9" customHeight="1" x14ac:dyDescent="0.25">
      <c r="B61" s="556" t="s">
        <v>627</v>
      </c>
      <c r="C61" s="557"/>
      <c r="D61" s="558"/>
      <c r="E61" s="554" t="s">
        <v>165</v>
      </c>
      <c r="F61" s="554"/>
      <c r="G61" s="554"/>
      <c r="H61" s="554"/>
      <c r="I61" s="554"/>
      <c r="J61" s="555"/>
      <c r="K61" s="212"/>
      <c r="L61" s="556" t="s">
        <v>628</v>
      </c>
      <c r="M61" s="557"/>
      <c r="N61" s="558"/>
      <c r="O61" s="554" t="s">
        <v>165</v>
      </c>
      <c r="P61" s="554"/>
      <c r="Q61" s="554"/>
      <c r="R61" s="554"/>
      <c r="S61" s="554"/>
      <c r="T61" s="555"/>
      <c r="U61" s="212"/>
      <c r="V61" s="556" t="s">
        <v>629</v>
      </c>
      <c r="W61" s="557"/>
      <c r="X61" s="558"/>
      <c r="Y61" s="554" t="s">
        <v>165</v>
      </c>
      <c r="Z61" s="554"/>
      <c r="AA61" s="554"/>
      <c r="AB61" s="554"/>
      <c r="AC61" s="554"/>
      <c r="AD61" s="555"/>
      <c r="AE61" s="212"/>
      <c r="AF61" s="556" t="s">
        <v>630</v>
      </c>
      <c r="AG61" s="557"/>
      <c r="AH61" s="558"/>
      <c r="AI61" s="554" t="s">
        <v>165</v>
      </c>
      <c r="AJ61" s="554"/>
      <c r="AK61" s="554"/>
      <c r="AL61" s="554"/>
      <c r="AM61" s="554"/>
      <c r="AN61" s="555"/>
      <c r="AO61" s="212"/>
      <c r="AP61" s="556" t="s">
        <v>631</v>
      </c>
      <c r="AQ61" s="557"/>
      <c r="AR61" s="558"/>
      <c r="AS61" s="554" t="s">
        <v>165</v>
      </c>
      <c r="AT61" s="554"/>
      <c r="AU61" s="554"/>
      <c r="AV61" s="554"/>
      <c r="AW61" s="554"/>
      <c r="AX61" s="555"/>
      <c r="AY61" s="212"/>
      <c r="AZ61" s="556" t="s">
        <v>632</v>
      </c>
      <c r="BA61" s="557"/>
      <c r="BB61" s="558"/>
      <c r="BC61" s="554" t="s">
        <v>165</v>
      </c>
      <c r="BD61" s="554"/>
      <c r="BE61" s="554"/>
      <c r="BF61" s="554"/>
      <c r="BG61" s="554"/>
      <c r="BH61" s="555"/>
      <c r="BI61" s="231"/>
      <c r="BJ61" s="556" t="s">
        <v>633</v>
      </c>
      <c r="BK61" s="557"/>
      <c r="BL61" s="558"/>
      <c r="BM61" s="554" t="s">
        <v>165</v>
      </c>
      <c r="BN61" s="554"/>
      <c r="BO61" s="554"/>
      <c r="BP61" s="554"/>
      <c r="BQ61" s="554"/>
      <c r="BR61" s="555"/>
    </row>
    <row r="62" spans="2:70" s="211" customFormat="1" ht="9" customHeight="1" x14ac:dyDescent="0.25">
      <c r="B62" s="546" t="s">
        <v>634</v>
      </c>
      <c r="C62" s="547"/>
      <c r="D62" s="547"/>
      <c r="E62" s="547"/>
      <c r="F62" s="547"/>
      <c r="G62" s="547"/>
      <c r="H62" s="547"/>
      <c r="I62" s="547"/>
      <c r="J62" s="548"/>
      <c r="K62" s="218"/>
      <c r="L62" s="546" t="s">
        <v>634</v>
      </c>
      <c r="M62" s="547"/>
      <c r="N62" s="547"/>
      <c r="O62" s="547"/>
      <c r="P62" s="547"/>
      <c r="Q62" s="547"/>
      <c r="R62" s="547"/>
      <c r="S62" s="547"/>
      <c r="T62" s="548"/>
      <c r="U62" s="218"/>
      <c r="V62" s="546" t="s">
        <v>634</v>
      </c>
      <c r="W62" s="547"/>
      <c r="X62" s="547"/>
      <c r="Y62" s="547"/>
      <c r="Z62" s="547"/>
      <c r="AA62" s="547"/>
      <c r="AB62" s="547"/>
      <c r="AC62" s="547"/>
      <c r="AD62" s="548"/>
      <c r="AE62" s="218"/>
      <c r="AF62" s="546" t="s">
        <v>634</v>
      </c>
      <c r="AG62" s="547"/>
      <c r="AH62" s="547"/>
      <c r="AI62" s="547"/>
      <c r="AJ62" s="547"/>
      <c r="AK62" s="547"/>
      <c r="AL62" s="547"/>
      <c r="AM62" s="547"/>
      <c r="AN62" s="548"/>
      <c r="AO62" s="218"/>
      <c r="AP62" s="546" t="s">
        <v>634</v>
      </c>
      <c r="AQ62" s="547"/>
      <c r="AR62" s="547"/>
      <c r="AS62" s="547"/>
      <c r="AT62" s="547"/>
      <c r="AU62" s="547"/>
      <c r="AV62" s="547"/>
      <c r="AW62" s="547"/>
      <c r="AX62" s="548"/>
      <c r="AY62" s="212"/>
      <c r="AZ62" s="546" t="s">
        <v>634</v>
      </c>
      <c r="BA62" s="547"/>
      <c r="BB62" s="547"/>
      <c r="BC62" s="547"/>
      <c r="BD62" s="547"/>
      <c r="BE62" s="547"/>
      <c r="BF62" s="547"/>
      <c r="BG62" s="547"/>
      <c r="BH62" s="548"/>
      <c r="BI62" s="231"/>
      <c r="BJ62" s="546" t="s">
        <v>634</v>
      </c>
      <c r="BK62" s="547"/>
      <c r="BL62" s="547"/>
      <c r="BM62" s="547"/>
      <c r="BN62" s="547"/>
      <c r="BO62" s="547"/>
      <c r="BP62" s="547"/>
      <c r="BQ62" s="547"/>
      <c r="BR62" s="548"/>
    </row>
    <row r="63" spans="2:70" s="211" customFormat="1" ht="9" customHeight="1" x14ac:dyDescent="0.25">
      <c r="B63" s="217"/>
      <c r="C63" s="218"/>
      <c r="D63" s="218"/>
      <c r="E63" s="218"/>
      <c r="F63" s="218"/>
      <c r="G63" s="218"/>
      <c r="H63" s="218"/>
      <c r="I63" s="218"/>
      <c r="J63" s="219"/>
      <c r="K63" s="218"/>
      <c r="L63" s="217"/>
      <c r="M63" s="218"/>
      <c r="N63" s="218"/>
      <c r="O63" s="218"/>
      <c r="P63" s="218"/>
      <c r="Q63" s="218"/>
      <c r="R63" s="218"/>
      <c r="S63" s="218"/>
      <c r="T63" s="219"/>
      <c r="U63" s="218"/>
      <c r="V63" s="217"/>
      <c r="W63" s="218"/>
      <c r="X63" s="218"/>
      <c r="Y63" s="218"/>
      <c r="Z63" s="218"/>
      <c r="AA63" s="218"/>
      <c r="AB63" s="218"/>
      <c r="AC63" s="218"/>
      <c r="AD63" s="219"/>
      <c r="AE63" s="228"/>
      <c r="AF63" s="212"/>
      <c r="AG63" s="212"/>
      <c r="AH63" s="212"/>
      <c r="AI63" s="212"/>
      <c r="AJ63" s="212"/>
      <c r="AK63" s="212"/>
      <c r="AL63" s="212"/>
      <c r="AM63" s="212"/>
      <c r="AN63" s="214"/>
      <c r="AO63" s="228"/>
      <c r="AP63" s="212"/>
      <c r="AQ63" s="212"/>
      <c r="AR63" s="212"/>
      <c r="AS63" s="212"/>
      <c r="AT63" s="212"/>
      <c r="AU63" s="212"/>
      <c r="AV63" s="212"/>
      <c r="AW63" s="212"/>
      <c r="AX63" s="214"/>
      <c r="AY63" s="222"/>
      <c r="AZ63" s="212"/>
      <c r="BA63" s="212"/>
      <c r="BB63" s="212"/>
      <c r="BC63" s="212"/>
      <c r="BD63" s="212"/>
      <c r="BE63" s="212"/>
      <c r="BF63" s="212"/>
      <c r="BG63" s="212"/>
      <c r="BH63" s="214"/>
      <c r="BI63" s="233"/>
      <c r="BJ63" s="212"/>
      <c r="BK63" s="212"/>
      <c r="BL63" s="212"/>
      <c r="BM63" s="212"/>
      <c r="BN63" s="212"/>
      <c r="BO63" s="212"/>
      <c r="BP63" s="212"/>
      <c r="BQ63" s="212"/>
      <c r="BR63" s="214"/>
    </row>
    <row r="64" spans="2:70" s="211" customFormat="1" ht="9" customHeight="1" x14ac:dyDescent="0.25">
      <c r="B64" s="217"/>
      <c r="C64" s="218"/>
      <c r="D64" s="218"/>
      <c r="E64" s="218"/>
      <c r="F64" s="218"/>
      <c r="G64" s="218"/>
      <c r="H64" s="218"/>
      <c r="I64" s="218"/>
      <c r="J64" s="219"/>
      <c r="K64" s="218"/>
      <c r="L64" s="217"/>
      <c r="M64" s="218"/>
      <c r="N64" s="218"/>
      <c r="O64" s="218"/>
      <c r="P64" s="218"/>
      <c r="Q64" s="218"/>
      <c r="R64" s="218"/>
      <c r="S64" s="218"/>
      <c r="T64" s="219"/>
      <c r="U64" s="218"/>
      <c r="V64" s="217"/>
      <c r="W64" s="218"/>
      <c r="X64" s="218"/>
      <c r="Y64" s="218"/>
      <c r="Z64" s="218"/>
      <c r="AA64" s="218"/>
      <c r="AB64" s="218"/>
      <c r="AC64" s="218"/>
      <c r="AD64" s="219"/>
      <c r="AE64" s="228"/>
      <c r="AF64" s="212"/>
      <c r="AG64" s="212"/>
      <c r="AH64" s="212"/>
      <c r="AI64" s="212"/>
      <c r="AJ64" s="212"/>
      <c r="AK64" s="212"/>
      <c r="AL64" s="212"/>
      <c r="AM64" s="212"/>
      <c r="AN64" s="214"/>
      <c r="AO64" s="228"/>
      <c r="AP64" s="212"/>
      <c r="AQ64" s="212"/>
      <c r="AR64" s="212"/>
      <c r="AS64" s="212"/>
      <c r="AT64" s="212"/>
      <c r="AU64" s="212"/>
      <c r="AV64" s="212"/>
      <c r="AW64" s="212"/>
      <c r="AX64" s="214"/>
      <c r="AY64" s="222"/>
      <c r="AZ64" s="212"/>
      <c r="BA64" s="212"/>
      <c r="BB64" s="212"/>
      <c r="BC64" s="212"/>
      <c r="BD64" s="212"/>
      <c r="BE64" s="212"/>
      <c r="BF64" s="212"/>
      <c r="BG64" s="212"/>
      <c r="BH64" s="214"/>
      <c r="BI64" s="233"/>
      <c r="BJ64" s="212"/>
      <c r="BK64" s="212"/>
      <c r="BL64" s="212"/>
      <c r="BM64" s="212"/>
      <c r="BN64" s="212"/>
      <c r="BO64" s="212"/>
      <c r="BP64" s="212"/>
      <c r="BQ64" s="212"/>
      <c r="BR64" s="214"/>
    </row>
    <row r="65" spans="2:80" s="211" customFormat="1" ht="9" customHeight="1" x14ac:dyDescent="0.25">
      <c r="B65" s="213"/>
      <c r="C65" s="212"/>
      <c r="D65" s="212"/>
      <c r="E65" s="212"/>
      <c r="F65" s="212"/>
      <c r="G65" s="212"/>
      <c r="H65" s="212"/>
      <c r="I65" s="212"/>
      <c r="J65" s="214"/>
      <c r="K65" s="212"/>
      <c r="L65" s="213"/>
      <c r="M65" s="212"/>
      <c r="N65" s="212"/>
      <c r="O65" s="212"/>
      <c r="P65" s="212"/>
      <c r="Q65" s="212"/>
      <c r="R65" s="212"/>
      <c r="S65" s="212"/>
      <c r="T65" s="214"/>
      <c r="U65" s="212"/>
      <c r="V65" s="213"/>
      <c r="W65" s="212"/>
      <c r="X65" s="212"/>
      <c r="Y65" s="212"/>
      <c r="Z65" s="212"/>
      <c r="AA65" s="212"/>
      <c r="AB65" s="212"/>
      <c r="AC65" s="212"/>
      <c r="AD65" s="214"/>
      <c r="AE65" s="222"/>
      <c r="AF65" s="212"/>
      <c r="AG65" s="212"/>
      <c r="AH65" s="212"/>
      <c r="AI65" s="212"/>
      <c r="AJ65" s="212"/>
      <c r="AK65" s="212"/>
      <c r="AL65" s="212"/>
      <c r="AM65" s="212"/>
      <c r="AN65" s="214"/>
      <c r="AO65" s="222"/>
      <c r="AP65" s="212"/>
      <c r="AQ65" s="212"/>
      <c r="AR65" s="212"/>
      <c r="AS65" s="212"/>
      <c r="AT65" s="212"/>
      <c r="AU65" s="212"/>
      <c r="AV65" s="212"/>
      <c r="AW65" s="212"/>
      <c r="AX65" s="214"/>
      <c r="AY65" s="222"/>
      <c r="AZ65" s="212"/>
      <c r="BA65" s="212"/>
      <c r="BB65" s="212"/>
      <c r="BC65" s="212"/>
      <c r="BD65" s="212"/>
      <c r="BE65" s="212"/>
      <c r="BF65" s="212"/>
      <c r="BG65" s="212"/>
      <c r="BH65" s="214"/>
      <c r="BI65" s="233"/>
      <c r="BJ65" s="212"/>
      <c r="BK65" s="212"/>
      <c r="BL65" s="212"/>
      <c r="BM65" s="212"/>
      <c r="BN65" s="212"/>
      <c r="BO65" s="212"/>
      <c r="BP65" s="212"/>
      <c r="BQ65" s="212"/>
      <c r="BR65" s="214"/>
    </row>
    <row r="66" spans="2:80" s="211" customFormat="1" ht="9" customHeight="1" x14ac:dyDescent="0.25">
      <c r="B66" s="230"/>
      <c r="C66" s="231"/>
      <c r="D66" s="231"/>
      <c r="E66" s="231"/>
      <c r="F66" s="231"/>
      <c r="G66" s="231"/>
      <c r="H66" s="231"/>
      <c r="I66" s="231"/>
      <c r="J66" s="232"/>
      <c r="K66" s="212"/>
      <c r="L66" s="230"/>
      <c r="M66" s="231"/>
      <c r="N66" s="231"/>
      <c r="O66" s="231"/>
      <c r="P66" s="231"/>
      <c r="Q66" s="231"/>
      <c r="R66" s="231"/>
      <c r="S66" s="231"/>
      <c r="T66" s="232"/>
      <c r="U66" s="212"/>
      <c r="V66" s="230"/>
      <c r="W66" s="231"/>
      <c r="X66" s="231"/>
      <c r="Y66" s="231"/>
      <c r="Z66" s="231"/>
      <c r="AA66" s="231"/>
      <c r="AB66" s="231"/>
      <c r="AC66" s="231"/>
      <c r="AD66" s="232"/>
      <c r="AE66" s="222"/>
      <c r="AF66" s="212"/>
      <c r="AG66" s="212"/>
      <c r="AH66" s="212"/>
      <c r="AI66" s="212"/>
      <c r="AJ66" s="212"/>
      <c r="AK66" s="212"/>
      <c r="AL66" s="212"/>
      <c r="AM66" s="212"/>
      <c r="AN66" s="214"/>
      <c r="AO66" s="222"/>
      <c r="AP66" s="212"/>
      <c r="AQ66" s="212"/>
      <c r="AR66" s="212"/>
      <c r="AS66" s="212"/>
      <c r="AT66" s="212"/>
      <c r="AU66" s="212"/>
      <c r="AV66" s="212"/>
      <c r="AW66" s="212"/>
      <c r="AX66" s="214"/>
      <c r="AY66" s="222"/>
      <c r="AZ66" s="212"/>
      <c r="BA66" s="212"/>
      <c r="BB66" s="212"/>
      <c r="BC66" s="212"/>
      <c r="BD66" s="212"/>
      <c r="BE66" s="212"/>
      <c r="BF66" s="212"/>
      <c r="BG66" s="212"/>
      <c r="BH66" s="214"/>
      <c r="BI66" s="233"/>
      <c r="BJ66" s="212"/>
      <c r="BK66" s="212"/>
      <c r="BL66" s="212"/>
      <c r="BM66" s="212"/>
      <c r="BN66" s="212"/>
      <c r="BO66" s="212"/>
      <c r="BP66" s="212"/>
      <c r="BQ66" s="212"/>
      <c r="BR66" s="214"/>
    </row>
    <row r="67" spans="2:80" s="211" customFormat="1" ht="9" customHeight="1" x14ac:dyDescent="0.25">
      <c r="B67" s="230"/>
      <c r="C67" s="231"/>
      <c r="D67" s="231"/>
      <c r="E67" s="231"/>
      <c r="F67" s="231"/>
      <c r="G67" s="231"/>
      <c r="H67" s="231"/>
      <c r="I67" s="231"/>
      <c r="J67" s="232"/>
      <c r="K67" s="212"/>
      <c r="L67" s="230"/>
      <c r="M67" s="231"/>
      <c r="N67" s="231"/>
      <c r="O67" s="231"/>
      <c r="P67" s="231"/>
      <c r="Q67" s="231"/>
      <c r="R67" s="231"/>
      <c r="S67" s="231"/>
      <c r="T67" s="232"/>
      <c r="U67" s="212"/>
      <c r="V67" s="230"/>
      <c r="W67" s="231"/>
      <c r="X67" s="231"/>
      <c r="Y67" s="231"/>
      <c r="Z67" s="231"/>
      <c r="AA67" s="231"/>
      <c r="AB67" s="231"/>
      <c r="AC67" s="231"/>
      <c r="AD67" s="232"/>
      <c r="AE67" s="222"/>
      <c r="AF67" s="212"/>
      <c r="AG67" s="212"/>
      <c r="AH67" s="212"/>
      <c r="AI67" s="212"/>
      <c r="AJ67" s="212"/>
      <c r="AK67" s="212"/>
      <c r="AL67" s="212"/>
      <c r="AM67" s="212"/>
      <c r="AN67" s="214"/>
      <c r="AO67" s="222"/>
      <c r="AP67" s="212"/>
      <c r="AQ67" s="212"/>
      <c r="AR67" s="212"/>
      <c r="AS67" s="212"/>
      <c r="AT67" s="212"/>
      <c r="AU67" s="212"/>
      <c r="AV67" s="212"/>
      <c r="AW67" s="212"/>
      <c r="AX67" s="214"/>
      <c r="AY67" s="222"/>
      <c r="AZ67" s="212"/>
      <c r="BA67" s="212"/>
      <c r="BB67" s="212"/>
      <c r="BC67" s="212"/>
      <c r="BD67" s="212"/>
      <c r="BE67" s="212"/>
      <c r="BF67" s="212"/>
      <c r="BG67" s="212"/>
      <c r="BH67" s="214"/>
      <c r="BI67" s="233"/>
      <c r="BJ67" s="212"/>
      <c r="BK67" s="212"/>
      <c r="BL67" s="212"/>
      <c r="BM67" s="212"/>
      <c r="BN67" s="212"/>
      <c r="BO67" s="212"/>
      <c r="BP67" s="212"/>
      <c r="BQ67" s="212"/>
      <c r="BR67" s="214"/>
    </row>
    <row r="68" spans="2:80" s="211" customFormat="1" ht="9" customHeight="1" x14ac:dyDescent="0.25">
      <c r="B68" s="230"/>
      <c r="C68" s="231"/>
      <c r="D68" s="231"/>
      <c r="E68" s="231"/>
      <c r="F68" s="231"/>
      <c r="G68" s="231"/>
      <c r="H68" s="231"/>
      <c r="I68" s="231"/>
      <c r="J68" s="232"/>
      <c r="K68" s="212"/>
      <c r="L68" s="230"/>
      <c r="M68" s="231"/>
      <c r="N68" s="231"/>
      <c r="O68" s="231"/>
      <c r="P68" s="231"/>
      <c r="Q68" s="231"/>
      <c r="R68" s="231"/>
      <c r="S68" s="231"/>
      <c r="T68" s="232"/>
      <c r="U68" s="212"/>
      <c r="V68" s="230"/>
      <c r="W68" s="231"/>
      <c r="X68" s="231"/>
      <c r="Y68" s="231"/>
      <c r="Z68" s="231"/>
      <c r="AA68" s="231"/>
      <c r="AB68" s="231"/>
      <c r="AC68" s="231"/>
      <c r="AD68" s="232"/>
      <c r="AE68" s="222"/>
      <c r="AF68" s="212"/>
      <c r="AG68" s="212"/>
      <c r="AH68" s="212"/>
      <c r="AI68" s="212"/>
      <c r="AJ68" s="212"/>
      <c r="AK68" s="212"/>
      <c r="AL68" s="212"/>
      <c r="AM68" s="212"/>
      <c r="AN68" s="214"/>
      <c r="AO68" s="222"/>
      <c r="AP68" s="212"/>
      <c r="AQ68" s="212"/>
      <c r="AR68" s="212"/>
      <c r="AS68" s="212"/>
      <c r="AT68" s="212"/>
      <c r="AU68" s="212"/>
      <c r="AV68" s="212"/>
      <c r="AW68" s="212"/>
      <c r="AX68" s="214"/>
      <c r="AY68" s="222"/>
      <c r="AZ68" s="212"/>
      <c r="BA68" s="212"/>
      <c r="BB68" s="212"/>
      <c r="BC68" s="212"/>
      <c r="BD68" s="212"/>
      <c r="BE68" s="212"/>
      <c r="BF68" s="212"/>
      <c r="BG68" s="212"/>
      <c r="BH68" s="214"/>
      <c r="BI68" s="233"/>
      <c r="BJ68" s="212"/>
      <c r="BK68" s="212"/>
      <c r="BL68" s="212"/>
      <c r="BM68" s="212"/>
      <c r="BN68" s="212"/>
      <c r="BO68" s="212"/>
      <c r="BP68" s="212"/>
      <c r="BQ68" s="212"/>
      <c r="BR68" s="214"/>
    </row>
    <row r="69" spans="2:80" s="211" customFormat="1" ht="9" customHeight="1" x14ac:dyDescent="0.25">
      <c r="B69" s="230"/>
      <c r="C69" s="231"/>
      <c r="D69" s="231"/>
      <c r="E69" s="231"/>
      <c r="F69" s="231"/>
      <c r="G69" s="231"/>
      <c r="H69" s="231"/>
      <c r="I69" s="231"/>
      <c r="J69" s="232"/>
      <c r="K69" s="212"/>
      <c r="L69" s="230"/>
      <c r="M69" s="231"/>
      <c r="N69" s="231"/>
      <c r="O69" s="231"/>
      <c r="P69" s="231"/>
      <c r="Q69" s="231"/>
      <c r="R69" s="231"/>
      <c r="S69" s="231"/>
      <c r="T69" s="232"/>
      <c r="U69" s="212"/>
      <c r="V69" s="230"/>
      <c r="W69" s="231"/>
      <c r="X69" s="231"/>
      <c r="Y69" s="231"/>
      <c r="Z69" s="231"/>
      <c r="AA69" s="231"/>
      <c r="AB69" s="231"/>
      <c r="AC69" s="231"/>
      <c r="AD69" s="232"/>
      <c r="AE69" s="222"/>
      <c r="AF69" s="212"/>
      <c r="AG69" s="212"/>
      <c r="AH69" s="212"/>
      <c r="AI69" s="212"/>
      <c r="AJ69" s="212"/>
      <c r="AK69" s="212"/>
      <c r="AL69" s="212"/>
      <c r="AM69" s="212"/>
      <c r="AN69" s="214"/>
      <c r="AO69" s="222"/>
      <c r="AP69" s="212"/>
      <c r="AQ69" s="212"/>
      <c r="AR69" s="212"/>
      <c r="AS69" s="212"/>
      <c r="AT69" s="212"/>
      <c r="AU69" s="212"/>
      <c r="AV69" s="212"/>
      <c r="AW69" s="212"/>
      <c r="AX69" s="214"/>
      <c r="AY69" s="222"/>
      <c r="AZ69" s="212"/>
      <c r="BA69" s="212"/>
      <c r="BB69" s="212"/>
      <c r="BC69" s="212"/>
      <c r="BD69" s="212"/>
      <c r="BE69" s="212"/>
      <c r="BF69" s="212"/>
      <c r="BG69" s="212"/>
      <c r="BH69" s="214"/>
      <c r="BI69" s="233"/>
      <c r="BJ69" s="212"/>
      <c r="BK69" s="212"/>
      <c r="BL69" s="212"/>
      <c r="BM69" s="212"/>
      <c r="BN69" s="212"/>
      <c r="BO69" s="212"/>
      <c r="BP69" s="212"/>
      <c r="BQ69" s="212"/>
      <c r="BR69" s="214"/>
    </row>
    <row r="70" spans="2:80" s="235" customFormat="1" ht="8.25" customHeight="1" x14ac:dyDescent="0.25">
      <c r="B70" s="230"/>
      <c r="C70" s="231"/>
      <c r="D70" s="231"/>
      <c r="E70" s="231"/>
      <c r="F70" s="231"/>
      <c r="G70" s="231"/>
      <c r="H70" s="231"/>
      <c r="I70" s="231"/>
      <c r="J70" s="232"/>
      <c r="K70" s="231"/>
      <c r="L70" s="230"/>
      <c r="M70" s="231"/>
      <c r="N70" s="231"/>
      <c r="O70" s="231"/>
      <c r="P70" s="231"/>
      <c r="Q70" s="231"/>
      <c r="R70" s="231"/>
      <c r="S70" s="231"/>
      <c r="T70" s="232"/>
      <c r="U70" s="231"/>
      <c r="V70" s="230"/>
      <c r="W70" s="231"/>
      <c r="X70" s="231"/>
      <c r="Y70" s="231"/>
      <c r="Z70" s="231"/>
      <c r="AA70" s="231"/>
      <c r="AB70" s="231"/>
      <c r="AC70" s="231"/>
      <c r="AD70" s="232"/>
      <c r="AE70" s="233"/>
      <c r="AF70" s="212"/>
      <c r="AG70" s="212"/>
      <c r="AH70" s="212"/>
      <c r="AI70" s="212"/>
      <c r="AJ70" s="212"/>
      <c r="AK70" s="212"/>
      <c r="AL70" s="212"/>
      <c r="AM70" s="212"/>
      <c r="AN70" s="214"/>
      <c r="AO70" s="233"/>
      <c r="AP70" s="212"/>
      <c r="AQ70" s="212"/>
      <c r="AR70" s="212"/>
      <c r="AS70" s="212"/>
      <c r="AT70" s="212"/>
      <c r="AU70" s="212"/>
      <c r="AV70" s="212"/>
      <c r="AW70" s="212"/>
      <c r="AX70" s="214"/>
      <c r="AY70" s="233"/>
      <c r="AZ70" s="212"/>
      <c r="BA70" s="212"/>
      <c r="BB70" s="212"/>
      <c r="BC70" s="212"/>
      <c r="BD70" s="212"/>
      <c r="BE70" s="212"/>
      <c r="BF70" s="212"/>
      <c r="BG70" s="212"/>
      <c r="BH70" s="214"/>
      <c r="BI70" s="222"/>
      <c r="BJ70" s="212"/>
      <c r="BK70" s="212"/>
      <c r="BL70" s="212"/>
      <c r="BM70" s="212"/>
      <c r="BN70" s="212"/>
      <c r="BO70" s="212"/>
      <c r="BP70" s="212"/>
      <c r="BQ70" s="212"/>
      <c r="BR70" s="214"/>
    </row>
    <row r="71" spans="2:80" s="211" customFormat="1" ht="1.5" hidden="1" customHeight="1" x14ac:dyDescent="0.25">
      <c r="B71" s="243"/>
      <c r="C71" s="227"/>
      <c r="D71" s="227"/>
      <c r="E71" s="227"/>
      <c r="F71" s="227"/>
      <c r="G71" s="227"/>
      <c r="H71" s="227"/>
      <c r="I71" s="227"/>
      <c r="J71" s="244"/>
      <c r="K71" s="212"/>
      <c r="L71" s="213"/>
      <c r="M71" s="212"/>
      <c r="N71" s="212"/>
      <c r="O71" s="212"/>
      <c r="P71" s="212"/>
      <c r="Q71" s="212"/>
      <c r="R71" s="212"/>
      <c r="S71" s="212"/>
      <c r="T71" s="214"/>
      <c r="U71" s="212"/>
      <c r="V71" s="243"/>
      <c r="W71" s="227"/>
      <c r="X71" s="227"/>
      <c r="Y71" s="227"/>
      <c r="Z71" s="227"/>
      <c r="AA71" s="227"/>
      <c r="AB71" s="227"/>
      <c r="AC71" s="227"/>
      <c r="AD71" s="244"/>
      <c r="AE71" s="222"/>
      <c r="AF71" s="224"/>
      <c r="AG71" s="224"/>
      <c r="AH71" s="224"/>
      <c r="AI71" s="224"/>
      <c r="AJ71" s="224"/>
      <c r="AK71" s="224"/>
      <c r="AL71" s="224"/>
      <c r="AM71" s="224"/>
      <c r="AN71" s="225"/>
      <c r="AO71" s="222"/>
      <c r="AP71" s="224"/>
      <c r="AQ71" s="224"/>
      <c r="AR71" s="224"/>
      <c r="AS71" s="224"/>
      <c r="AT71" s="224"/>
      <c r="AU71" s="224"/>
      <c r="AV71" s="224"/>
      <c r="AW71" s="224"/>
      <c r="AX71" s="225"/>
      <c r="AY71" s="222"/>
      <c r="AZ71" s="224"/>
      <c r="BA71" s="224"/>
      <c r="BB71" s="224"/>
      <c r="BC71" s="224"/>
      <c r="BD71" s="224"/>
      <c r="BE71" s="224"/>
      <c r="BF71" s="224"/>
      <c r="BG71" s="224"/>
      <c r="BH71" s="225"/>
      <c r="BI71" s="233"/>
      <c r="BJ71" s="224"/>
      <c r="BK71" s="224"/>
      <c r="BL71" s="224"/>
      <c r="BM71" s="224"/>
      <c r="BN71" s="224"/>
      <c r="BO71" s="224"/>
      <c r="BP71" s="224"/>
      <c r="BQ71" s="224"/>
      <c r="BR71" s="225"/>
    </row>
    <row r="72" spans="2:80" s="211" customFormat="1" ht="9" customHeight="1" x14ac:dyDescent="0.25">
      <c r="B72" s="546" t="s">
        <v>605</v>
      </c>
      <c r="C72" s="547"/>
      <c r="D72" s="547"/>
      <c r="E72" s="547"/>
      <c r="F72" s="547"/>
      <c r="G72" s="547"/>
      <c r="H72" s="547"/>
      <c r="I72" s="547"/>
      <c r="J72" s="548"/>
      <c r="K72" s="212"/>
      <c r="L72" s="571" t="s">
        <v>605</v>
      </c>
      <c r="M72" s="554"/>
      <c r="N72" s="554"/>
      <c r="O72" s="554"/>
      <c r="P72" s="554"/>
      <c r="Q72" s="554"/>
      <c r="R72" s="554"/>
      <c r="S72" s="554"/>
      <c r="T72" s="555"/>
      <c r="U72" s="212"/>
      <c r="V72" s="546" t="s">
        <v>605</v>
      </c>
      <c r="W72" s="547"/>
      <c r="X72" s="547"/>
      <c r="Y72" s="547"/>
      <c r="Z72" s="547"/>
      <c r="AA72" s="547"/>
      <c r="AB72" s="547"/>
      <c r="AC72" s="547"/>
      <c r="AD72" s="548"/>
      <c r="AE72" s="222"/>
      <c r="AF72" s="212"/>
      <c r="AG72" s="212"/>
      <c r="AH72" s="212"/>
      <c r="AI72" s="212"/>
      <c r="AJ72" s="212"/>
      <c r="AK72" s="212"/>
      <c r="AL72" s="212"/>
      <c r="AM72" s="212"/>
      <c r="AN72" s="214"/>
      <c r="AO72" s="222"/>
      <c r="AP72" s="212"/>
      <c r="AQ72" s="212"/>
      <c r="AR72" s="212"/>
      <c r="AS72" s="212"/>
      <c r="AT72" s="212"/>
      <c r="AU72" s="212"/>
      <c r="AV72" s="212"/>
      <c r="AW72" s="212"/>
      <c r="AX72" s="214"/>
      <c r="AY72" s="222"/>
      <c r="AZ72" s="212"/>
      <c r="BA72" s="212"/>
      <c r="BB72" s="212"/>
      <c r="BC72" s="212"/>
      <c r="BD72" s="212"/>
      <c r="BE72" s="212"/>
      <c r="BF72" s="212"/>
      <c r="BG72" s="212"/>
      <c r="BH72" s="214"/>
      <c r="BI72" s="222"/>
      <c r="BJ72" s="212"/>
      <c r="BK72" s="212"/>
      <c r="BL72" s="212"/>
      <c r="BM72" s="212"/>
      <c r="BN72" s="212"/>
      <c r="BO72" s="212"/>
      <c r="BP72" s="212"/>
      <c r="BQ72" s="212"/>
      <c r="BR72" s="214"/>
    </row>
    <row r="73" spans="2:80" s="211" customFormat="1" ht="9" customHeight="1" x14ac:dyDescent="0.25">
      <c r="B73" s="543" t="s">
        <v>635</v>
      </c>
      <c r="C73" s="543"/>
      <c r="D73" s="543"/>
      <c r="E73" s="543"/>
      <c r="F73" s="543"/>
      <c r="G73" s="542">
        <f>CEILING(1073*B3,1)</f>
        <v>2039</v>
      </c>
      <c r="H73" s="542"/>
      <c r="I73" s="542"/>
      <c r="J73" s="542"/>
      <c r="K73" s="200"/>
      <c r="L73" s="543" t="s">
        <v>635</v>
      </c>
      <c r="M73" s="543"/>
      <c r="N73" s="543"/>
      <c r="O73" s="543"/>
      <c r="P73" s="543"/>
      <c r="Q73" s="542">
        <f>CEILING(1210*B3,1)</f>
        <v>2299</v>
      </c>
      <c r="R73" s="542"/>
      <c r="S73" s="542"/>
      <c r="T73" s="542"/>
      <c r="U73" s="200"/>
      <c r="V73" s="543" t="s">
        <v>635</v>
      </c>
      <c r="W73" s="543"/>
      <c r="X73" s="543"/>
      <c r="Y73" s="543"/>
      <c r="Z73" s="543"/>
      <c r="AA73" s="542">
        <f>CEILING(1454*B3,1)</f>
        <v>2763</v>
      </c>
      <c r="AB73" s="542"/>
      <c r="AC73" s="542"/>
      <c r="AD73" s="542"/>
      <c r="AE73" s="200"/>
      <c r="AF73" s="543" t="s">
        <v>636</v>
      </c>
      <c r="AG73" s="543"/>
      <c r="AH73" s="543"/>
      <c r="AI73" s="543"/>
      <c r="AJ73" s="543"/>
      <c r="AK73" s="542">
        <f>CEILING(1846*B3,1)</f>
        <v>3508</v>
      </c>
      <c r="AL73" s="542"/>
      <c r="AM73" s="542"/>
      <c r="AN73" s="542"/>
      <c r="AO73" s="200"/>
      <c r="AP73" s="543" t="s">
        <v>636</v>
      </c>
      <c r="AQ73" s="543"/>
      <c r="AR73" s="543"/>
      <c r="AS73" s="543"/>
      <c r="AT73" s="543"/>
      <c r="AU73" s="542">
        <f>CEILING(1874*B3,1)</f>
        <v>3561</v>
      </c>
      <c r="AV73" s="542"/>
      <c r="AW73" s="542"/>
      <c r="AX73" s="542"/>
      <c r="AY73" s="200"/>
      <c r="AZ73" s="543" t="s">
        <v>636</v>
      </c>
      <c r="BA73" s="543"/>
      <c r="BB73" s="543"/>
      <c r="BC73" s="543"/>
      <c r="BD73" s="543"/>
      <c r="BE73" s="542">
        <f>CEILING(2349*B3,1)</f>
        <v>4464</v>
      </c>
      <c r="BF73" s="542"/>
      <c r="BG73" s="542"/>
      <c r="BH73" s="542"/>
      <c r="BI73" s="200"/>
      <c r="BJ73" s="543" t="s">
        <v>637</v>
      </c>
      <c r="BK73" s="543"/>
      <c r="BL73" s="543"/>
      <c r="BM73" s="543"/>
      <c r="BN73" s="543"/>
      <c r="BO73" s="542">
        <f>CEILING(2715*B3,1)</f>
        <v>5159</v>
      </c>
      <c r="BP73" s="542"/>
      <c r="BQ73" s="542"/>
      <c r="BR73" s="542"/>
    </row>
    <row r="74" spans="2:80" s="211" customFormat="1" ht="1.5" customHeight="1" x14ac:dyDescent="0.2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row>
    <row r="75" spans="2:80" s="211" customFormat="1" ht="9" customHeight="1" x14ac:dyDescent="0.25">
      <c r="B75" s="556" t="s">
        <v>638</v>
      </c>
      <c r="C75" s="557"/>
      <c r="D75" s="558"/>
      <c r="E75" s="554" t="s">
        <v>639</v>
      </c>
      <c r="F75" s="554"/>
      <c r="G75" s="554"/>
      <c r="H75" s="554"/>
      <c r="I75" s="554"/>
      <c r="J75" s="555"/>
      <c r="K75" s="212"/>
      <c r="L75" s="556" t="s">
        <v>640</v>
      </c>
      <c r="M75" s="557"/>
      <c r="N75" s="558"/>
      <c r="O75" s="554" t="s">
        <v>639</v>
      </c>
      <c r="P75" s="554"/>
      <c r="Q75" s="554"/>
      <c r="R75" s="554"/>
      <c r="S75" s="554"/>
      <c r="T75" s="555"/>
      <c r="U75" s="212"/>
      <c r="V75" s="556" t="s">
        <v>641</v>
      </c>
      <c r="W75" s="557"/>
      <c r="X75" s="558"/>
      <c r="Y75" s="554" t="s">
        <v>639</v>
      </c>
      <c r="Z75" s="554"/>
      <c r="AA75" s="554"/>
      <c r="AB75" s="554"/>
      <c r="AC75" s="554"/>
      <c r="AD75" s="555"/>
      <c r="AE75" s="212"/>
      <c r="AF75" s="556" t="s">
        <v>642</v>
      </c>
      <c r="AG75" s="557"/>
      <c r="AH75" s="558"/>
      <c r="AI75" s="554" t="s">
        <v>643</v>
      </c>
      <c r="AJ75" s="554"/>
      <c r="AK75" s="554"/>
      <c r="AL75" s="554"/>
      <c r="AM75" s="554"/>
      <c r="AN75" s="555"/>
      <c r="AO75" s="212"/>
      <c r="AP75" s="556" t="s">
        <v>644</v>
      </c>
      <c r="AQ75" s="557"/>
      <c r="AR75" s="558"/>
      <c r="AS75" s="554" t="s">
        <v>643</v>
      </c>
      <c r="AT75" s="554"/>
      <c r="AU75" s="554"/>
      <c r="AV75" s="554"/>
      <c r="AW75" s="554"/>
      <c r="AX75" s="555"/>
      <c r="AY75" s="212"/>
      <c r="AZ75" s="556" t="s">
        <v>645</v>
      </c>
      <c r="BA75" s="557"/>
      <c r="BB75" s="558"/>
      <c r="BC75" s="554" t="s">
        <v>615</v>
      </c>
      <c r="BD75" s="554"/>
      <c r="BE75" s="554"/>
      <c r="BF75" s="554"/>
      <c r="BG75" s="554"/>
      <c r="BH75" s="555"/>
      <c r="BI75" s="231"/>
      <c r="BJ75" s="556" t="s">
        <v>646</v>
      </c>
      <c r="BK75" s="557"/>
      <c r="BL75" s="558"/>
      <c r="BM75" s="554" t="s">
        <v>615</v>
      </c>
      <c r="BN75" s="554"/>
      <c r="BO75" s="554"/>
      <c r="BP75" s="554"/>
      <c r="BQ75" s="554"/>
      <c r="BR75" s="555"/>
      <c r="BT75" s="545"/>
      <c r="BU75" s="545"/>
      <c r="BV75" s="545"/>
      <c r="BW75" s="545"/>
      <c r="BX75" s="545"/>
      <c r="BY75" s="545"/>
      <c r="BZ75" s="545"/>
      <c r="CA75" s="545"/>
      <c r="CB75" s="545"/>
    </row>
    <row r="76" spans="2:80" s="216" customFormat="1" ht="9" customHeight="1" x14ac:dyDescent="0.25">
      <c r="B76" s="217"/>
      <c r="C76" s="218"/>
      <c r="D76" s="218"/>
      <c r="E76" s="218"/>
      <c r="F76" s="218"/>
      <c r="G76" s="218"/>
      <c r="H76" s="218"/>
      <c r="I76" s="218"/>
      <c r="J76" s="219"/>
      <c r="K76" s="218"/>
      <c r="L76" s="217"/>
      <c r="M76" s="218"/>
      <c r="N76" s="218"/>
      <c r="O76" s="218"/>
      <c r="P76" s="218"/>
      <c r="Q76" s="218"/>
      <c r="R76" s="218"/>
      <c r="S76" s="218"/>
      <c r="T76" s="219"/>
      <c r="U76" s="218"/>
      <c r="V76" s="217"/>
      <c r="W76" s="218"/>
      <c r="X76" s="218"/>
      <c r="Y76" s="218"/>
      <c r="Z76" s="218"/>
      <c r="AA76" s="218"/>
      <c r="AB76" s="218"/>
      <c r="AC76" s="218"/>
      <c r="AD76" s="219"/>
      <c r="AE76" s="218"/>
      <c r="AF76" s="217"/>
      <c r="AG76" s="218"/>
      <c r="AH76" s="218"/>
      <c r="AI76" s="218"/>
      <c r="AJ76" s="218"/>
      <c r="AK76" s="218"/>
      <c r="AL76" s="218"/>
      <c r="AM76" s="218"/>
      <c r="AN76" s="219"/>
      <c r="AO76" s="218"/>
      <c r="AP76" s="217"/>
      <c r="AQ76" s="218"/>
      <c r="AR76" s="218"/>
      <c r="AS76" s="218"/>
      <c r="AT76" s="218"/>
      <c r="AU76" s="218"/>
      <c r="AV76" s="218"/>
      <c r="AW76" s="218"/>
      <c r="AX76" s="219"/>
      <c r="AY76" s="218"/>
      <c r="AZ76" s="546" t="s">
        <v>647</v>
      </c>
      <c r="BA76" s="547"/>
      <c r="BB76" s="547"/>
      <c r="BC76" s="547"/>
      <c r="BD76" s="547"/>
      <c r="BE76" s="547"/>
      <c r="BF76" s="547"/>
      <c r="BG76" s="547"/>
      <c r="BH76" s="548"/>
      <c r="BI76" s="219"/>
      <c r="BJ76" s="546" t="s">
        <v>648</v>
      </c>
      <c r="BK76" s="547"/>
      <c r="BL76" s="547"/>
      <c r="BM76" s="547"/>
      <c r="BN76" s="547"/>
      <c r="BO76" s="547"/>
      <c r="BP76" s="547"/>
      <c r="BQ76" s="547"/>
      <c r="BR76" s="548"/>
    </row>
    <row r="77" spans="2:80" s="211" customFormat="1" ht="9" customHeight="1" x14ac:dyDescent="0.25">
      <c r="B77" s="217"/>
      <c r="C77" s="218"/>
      <c r="D77" s="218"/>
      <c r="E77" s="218"/>
      <c r="F77" s="218"/>
      <c r="G77" s="218"/>
      <c r="H77" s="218"/>
      <c r="I77" s="218"/>
      <c r="J77" s="219"/>
      <c r="K77" s="212"/>
      <c r="L77" s="217"/>
      <c r="M77" s="218"/>
      <c r="N77" s="218"/>
      <c r="O77" s="218"/>
      <c r="P77" s="218"/>
      <c r="Q77" s="218"/>
      <c r="R77" s="218"/>
      <c r="S77" s="218"/>
      <c r="T77" s="219"/>
      <c r="U77" s="212"/>
      <c r="V77" s="217"/>
      <c r="W77" s="218"/>
      <c r="X77" s="218"/>
      <c r="Y77" s="218"/>
      <c r="Z77" s="218"/>
      <c r="AA77" s="218"/>
      <c r="AB77" s="218"/>
      <c r="AC77" s="218"/>
      <c r="AD77" s="219"/>
      <c r="AE77" s="212"/>
      <c r="AF77" s="217"/>
      <c r="AG77" s="218"/>
      <c r="AH77" s="218"/>
      <c r="AI77" s="218"/>
      <c r="AJ77" s="218"/>
      <c r="AK77" s="218"/>
      <c r="AL77" s="218"/>
      <c r="AM77" s="218"/>
      <c r="AN77" s="219"/>
      <c r="AO77" s="212"/>
      <c r="AP77" s="217"/>
      <c r="AQ77" s="218"/>
      <c r="AR77" s="218"/>
      <c r="AS77" s="218"/>
      <c r="AT77" s="218"/>
      <c r="AU77" s="218"/>
      <c r="AV77" s="218"/>
      <c r="AW77" s="218"/>
      <c r="AX77" s="219"/>
      <c r="AY77" s="212"/>
      <c r="AZ77" s="217"/>
      <c r="BA77" s="218"/>
      <c r="BB77" s="218"/>
      <c r="BC77" s="218"/>
      <c r="BD77" s="218"/>
      <c r="BE77" s="218"/>
      <c r="BF77" s="218"/>
      <c r="BG77" s="218"/>
      <c r="BH77" s="219"/>
      <c r="BI77" s="232"/>
      <c r="BJ77" s="217"/>
      <c r="BK77" s="218"/>
      <c r="BL77" s="218"/>
      <c r="BM77" s="218"/>
      <c r="BN77" s="218"/>
      <c r="BO77" s="218"/>
      <c r="BP77" s="218"/>
      <c r="BQ77" s="218"/>
      <c r="BR77" s="219"/>
      <c r="BT77" s="238"/>
      <c r="BU77" s="238"/>
      <c r="BV77" s="238"/>
      <c r="BW77" s="216"/>
      <c r="BX77" s="216"/>
      <c r="BY77" s="216"/>
      <c r="BZ77" s="216"/>
      <c r="CA77" s="216"/>
      <c r="CB77" s="216"/>
    </row>
    <row r="78" spans="2:80" s="211" customFormat="1" ht="9" customHeight="1" x14ac:dyDescent="0.25">
      <c r="B78" s="217"/>
      <c r="C78" s="218"/>
      <c r="D78" s="218"/>
      <c r="E78" s="218"/>
      <c r="F78" s="218"/>
      <c r="G78" s="218"/>
      <c r="H78" s="218"/>
      <c r="I78" s="218"/>
      <c r="J78" s="219"/>
      <c r="K78" s="212"/>
      <c r="L78" s="217"/>
      <c r="M78" s="218"/>
      <c r="N78" s="218"/>
      <c r="O78" s="218"/>
      <c r="P78" s="218"/>
      <c r="Q78" s="218"/>
      <c r="R78" s="218"/>
      <c r="S78" s="218"/>
      <c r="T78" s="219"/>
      <c r="U78" s="212"/>
      <c r="V78" s="217"/>
      <c r="W78" s="218"/>
      <c r="X78" s="218"/>
      <c r="Y78" s="218"/>
      <c r="Z78" s="218"/>
      <c r="AA78" s="218"/>
      <c r="AB78" s="218"/>
      <c r="AC78" s="218"/>
      <c r="AD78" s="219"/>
      <c r="AE78" s="212"/>
      <c r="AF78" s="217"/>
      <c r="AG78" s="218"/>
      <c r="AH78" s="218"/>
      <c r="AI78" s="218"/>
      <c r="AJ78" s="218"/>
      <c r="AK78" s="218"/>
      <c r="AL78" s="218"/>
      <c r="AM78" s="218"/>
      <c r="AN78" s="219"/>
      <c r="AO78" s="212"/>
      <c r="AP78" s="217"/>
      <c r="AQ78" s="218"/>
      <c r="AR78" s="218"/>
      <c r="AS78" s="218"/>
      <c r="AT78" s="218"/>
      <c r="AU78" s="218"/>
      <c r="AV78" s="218"/>
      <c r="AW78" s="218"/>
      <c r="AX78" s="219"/>
      <c r="AY78" s="212"/>
      <c r="AZ78" s="217"/>
      <c r="BA78" s="218"/>
      <c r="BB78" s="218"/>
      <c r="BC78" s="218"/>
      <c r="BD78" s="218"/>
      <c r="BE78" s="218"/>
      <c r="BF78" s="218"/>
      <c r="BG78" s="218"/>
      <c r="BH78" s="219"/>
      <c r="BI78" s="232"/>
      <c r="BJ78" s="217"/>
      <c r="BK78" s="218"/>
      <c r="BL78" s="218"/>
      <c r="BM78" s="218"/>
      <c r="BN78" s="218"/>
      <c r="BO78" s="218"/>
      <c r="BP78" s="218"/>
      <c r="BQ78" s="218"/>
      <c r="BR78" s="219"/>
      <c r="BT78" s="238"/>
      <c r="BU78" s="238"/>
      <c r="BV78" s="238"/>
      <c r="BW78" s="216"/>
      <c r="BX78" s="216"/>
      <c r="BY78" s="216"/>
      <c r="BZ78" s="216"/>
      <c r="CA78" s="216"/>
      <c r="CB78" s="216"/>
    </row>
    <row r="79" spans="2:80" s="211" customFormat="1" ht="9" customHeight="1" x14ac:dyDescent="0.25">
      <c r="B79" s="213"/>
      <c r="C79" s="212"/>
      <c r="D79" s="212"/>
      <c r="E79" s="212"/>
      <c r="F79" s="212"/>
      <c r="G79" s="212"/>
      <c r="H79" s="212"/>
      <c r="I79" s="212"/>
      <c r="J79" s="214"/>
      <c r="K79" s="212"/>
      <c r="L79" s="213"/>
      <c r="M79" s="212"/>
      <c r="N79" s="212"/>
      <c r="O79" s="212"/>
      <c r="P79" s="212"/>
      <c r="Q79" s="212"/>
      <c r="R79" s="212"/>
      <c r="S79" s="212"/>
      <c r="T79" s="214"/>
      <c r="U79" s="212"/>
      <c r="V79" s="213"/>
      <c r="W79" s="212"/>
      <c r="X79" s="212"/>
      <c r="Y79" s="212"/>
      <c r="Z79" s="212"/>
      <c r="AA79" s="212"/>
      <c r="AB79" s="212"/>
      <c r="AC79" s="212"/>
      <c r="AD79" s="214"/>
      <c r="AE79" s="212"/>
      <c r="AF79" s="213"/>
      <c r="AG79" s="212"/>
      <c r="AH79" s="212"/>
      <c r="AI79" s="212"/>
      <c r="AJ79" s="212"/>
      <c r="AK79" s="212"/>
      <c r="AL79" s="212"/>
      <c r="AM79" s="212"/>
      <c r="AN79" s="214"/>
      <c r="AO79" s="212"/>
      <c r="AP79" s="213"/>
      <c r="AQ79" s="212"/>
      <c r="AR79" s="212"/>
      <c r="AS79" s="212"/>
      <c r="AT79" s="212"/>
      <c r="AU79" s="212"/>
      <c r="AV79" s="212"/>
      <c r="AW79" s="212"/>
      <c r="AX79" s="214"/>
      <c r="AY79" s="212"/>
      <c r="AZ79" s="213"/>
      <c r="BA79" s="212"/>
      <c r="BB79" s="212"/>
      <c r="BC79" s="212"/>
      <c r="BD79" s="212"/>
      <c r="BE79" s="212"/>
      <c r="BF79" s="212"/>
      <c r="BG79" s="212"/>
      <c r="BH79" s="214"/>
      <c r="BI79" s="232"/>
      <c r="BJ79" s="213"/>
      <c r="BK79" s="212"/>
      <c r="BL79" s="212"/>
      <c r="BM79" s="212"/>
      <c r="BN79" s="212"/>
      <c r="BO79" s="212"/>
      <c r="BP79" s="212"/>
      <c r="BQ79" s="212"/>
      <c r="BR79" s="214"/>
      <c r="BT79" s="238"/>
      <c r="BU79" s="238"/>
      <c r="BV79" s="238"/>
      <c r="BW79" s="216"/>
      <c r="BX79" s="216"/>
      <c r="BY79" s="216"/>
      <c r="BZ79" s="216"/>
      <c r="CA79" s="216"/>
      <c r="CB79" s="216"/>
    </row>
    <row r="80" spans="2:80" s="211" customFormat="1" ht="9" customHeight="1" x14ac:dyDescent="0.25">
      <c r="B80" s="230"/>
      <c r="C80" s="231"/>
      <c r="D80" s="231"/>
      <c r="E80" s="231"/>
      <c r="F80" s="231"/>
      <c r="G80" s="231"/>
      <c r="H80" s="231"/>
      <c r="I80" s="231"/>
      <c r="J80" s="232"/>
      <c r="K80" s="212"/>
      <c r="L80" s="230"/>
      <c r="M80" s="231"/>
      <c r="N80" s="231"/>
      <c r="O80" s="231"/>
      <c r="P80" s="231"/>
      <c r="Q80" s="231"/>
      <c r="R80" s="231"/>
      <c r="S80" s="231"/>
      <c r="T80" s="232"/>
      <c r="U80" s="212"/>
      <c r="V80" s="230"/>
      <c r="W80" s="231"/>
      <c r="X80" s="231"/>
      <c r="Y80" s="231"/>
      <c r="Z80" s="231"/>
      <c r="AA80" s="231"/>
      <c r="AB80" s="231"/>
      <c r="AC80" s="231"/>
      <c r="AD80" s="232"/>
      <c r="AE80" s="212"/>
      <c r="AF80" s="230"/>
      <c r="AG80" s="231"/>
      <c r="AH80" s="231"/>
      <c r="AI80" s="231"/>
      <c r="AJ80" s="231"/>
      <c r="AK80" s="231"/>
      <c r="AL80" s="231"/>
      <c r="AM80" s="231"/>
      <c r="AN80" s="232"/>
      <c r="AO80" s="212"/>
      <c r="AP80" s="230"/>
      <c r="AQ80" s="231"/>
      <c r="AR80" s="231"/>
      <c r="AS80" s="231"/>
      <c r="AT80" s="231"/>
      <c r="AU80" s="231"/>
      <c r="AV80" s="231"/>
      <c r="AW80" s="231"/>
      <c r="AX80" s="232"/>
      <c r="AY80" s="212"/>
      <c r="AZ80" s="230"/>
      <c r="BA80" s="231"/>
      <c r="BB80" s="231"/>
      <c r="BC80" s="231"/>
      <c r="BD80" s="231"/>
      <c r="BE80" s="231"/>
      <c r="BF80" s="231"/>
      <c r="BG80" s="231"/>
      <c r="BH80" s="232"/>
      <c r="BI80" s="232"/>
      <c r="BJ80" s="230"/>
      <c r="BK80" s="231"/>
      <c r="BL80" s="231"/>
      <c r="BM80" s="231"/>
      <c r="BN80" s="231"/>
      <c r="BO80" s="231"/>
      <c r="BP80" s="231"/>
      <c r="BQ80" s="231"/>
      <c r="BR80" s="232"/>
      <c r="BT80" s="238"/>
      <c r="BU80" s="238"/>
      <c r="BV80" s="238"/>
      <c r="BW80" s="216"/>
      <c r="BX80" s="216"/>
      <c r="BY80" s="216"/>
      <c r="BZ80" s="216"/>
      <c r="CA80" s="216"/>
      <c r="CB80" s="216"/>
    </row>
    <row r="81" spans="2:80" s="211" customFormat="1" ht="9" customHeight="1" x14ac:dyDescent="0.25">
      <c r="B81" s="230"/>
      <c r="C81" s="231"/>
      <c r="D81" s="231"/>
      <c r="E81" s="231"/>
      <c r="F81" s="231"/>
      <c r="G81" s="231"/>
      <c r="H81" s="231"/>
      <c r="I81" s="231"/>
      <c r="J81" s="232"/>
      <c r="K81" s="212"/>
      <c r="L81" s="230"/>
      <c r="M81" s="231"/>
      <c r="N81" s="231"/>
      <c r="O81" s="231"/>
      <c r="P81" s="231"/>
      <c r="Q81" s="231"/>
      <c r="R81" s="231"/>
      <c r="S81" s="231"/>
      <c r="T81" s="232"/>
      <c r="U81" s="212"/>
      <c r="V81" s="230"/>
      <c r="W81" s="231"/>
      <c r="X81" s="231"/>
      <c r="Y81" s="231"/>
      <c r="Z81" s="231"/>
      <c r="AA81" s="231"/>
      <c r="AB81" s="231"/>
      <c r="AC81" s="231"/>
      <c r="AD81" s="232"/>
      <c r="AE81" s="212"/>
      <c r="AF81" s="230"/>
      <c r="AG81" s="231"/>
      <c r="AH81" s="231"/>
      <c r="AI81" s="231"/>
      <c r="AJ81" s="231"/>
      <c r="AK81" s="231"/>
      <c r="AL81" s="231"/>
      <c r="AM81" s="231"/>
      <c r="AN81" s="232"/>
      <c r="AO81" s="212"/>
      <c r="AP81" s="230"/>
      <c r="AQ81" s="231"/>
      <c r="AR81" s="231"/>
      <c r="AS81" s="231"/>
      <c r="AT81" s="231"/>
      <c r="AU81" s="231"/>
      <c r="AV81" s="231"/>
      <c r="AW81" s="231"/>
      <c r="AX81" s="232"/>
      <c r="AY81" s="212"/>
      <c r="AZ81" s="230"/>
      <c r="BA81" s="231"/>
      <c r="BB81" s="231"/>
      <c r="BC81" s="231"/>
      <c r="BD81" s="231"/>
      <c r="BE81" s="231"/>
      <c r="BF81" s="231"/>
      <c r="BG81" s="231"/>
      <c r="BH81" s="232"/>
      <c r="BI81" s="232"/>
      <c r="BJ81" s="230"/>
      <c r="BK81" s="231"/>
      <c r="BL81" s="231"/>
      <c r="BM81" s="231"/>
      <c r="BN81" s="231"/>
      <c r="BO81" s="231"/>
      <c r="BP81" s="231"/>
      <c r="BQ81" s="231"/>
      <c r="BR81" s="232"/>
      <c r="BT81" s="238"/>
      <c r="BU81" s="238"/>
      <c r="BV81" s="238"/>
      <c r="BW81" s="216"/>
      <c r="BX81" s="216"/>
      <c r="BY81" s="216"/>
      <c r="BZ81" s="216"/>
      <c r="CA81" s="216"/>
      <c r="CB81" s="216"/>
    </row>
    <row r="82" spans="2:80" s="211" customFormat="1" ht="9" customHeight="1" x14ac:dyDescent="0.25">
      <c r="B82" s="230"/>
      <c r="C82" s="231"/>
      <c r="D82" s="231"/>
      <c r="E82" s="231"/>
      <c r="F82" s="231"/>
      <c r="G82" s="231"/>
      <c r="H82" s="231"/>
      <c r="I82" s="231"/>
      <c r="J82" s="232"/>
      <c r="K82" s="212"/>
      <c r="L82" s="230"/>
      <c r="M82" s="231"/>
      <c r="N82" s="231"/>
      <c r="O82" s="231"/>
      <c r="P82" s="231"/>
      <c r="Q82" s="231"/>
      <c r="R82" s="231"/>
      <c r="S82" s="231"/>
      <c r="T82" s="232"/>
      <c r="U82" s="212"/>
      <c r="V82" s="230"/>
      <c r="W82" s="231"/>
      <c r="X82" s="231"/>
      <c r="Y82" s="231"/>
      <c r="Z82" s="231"/>
      <c r="AA82" s="231"/>
      <c r="AB82" s="231"/>
      <c r="AC82" s="231"/>
      <c r="AD82" s="232"/>
      <c r="AE82" s="212"/>
      <c r="AF82" s="230"/>
      <c r="AG82" s="231"/>
      <c r="AH82" s="231"/>
      <c r="AI82" s="231"/>
      <c r="AJ82" s="231"/>
      <c r="AK82" s="231"/>
      <c r="AL82" s="231"/>
      <c r="AM82" s="231"/>
      <c r="AN82" s="232"/>
      <c r="AO82" s="212"/>
      <c r="AP82" s="230"/>
      <c r="AQ82" s="231"/>
      <c r="AR82" s="231"/>
      <c r="AS82" s="231"/>
      <c r="AT82" s="231"/>
      <c r="AU82" s="231"/>
      <c r="AV82" s="231"/>
      <c r="AW82" s="231"/>
      <c r="AX82" s="232"/>
      <c r="AY82" s="212"/>
      <c r="AZ82" s="230"/>
      <c r="BA82" s="231"/>
      <c r="BB82" s="231"/>
      <c r="BC82" s="231"/>
      <c r="BD82" s="231"/>
      <c r="BE82" s="231"/>
      <c r="BF82" s="231"/>
      <c r="BG82" s="231"/>
      <c r="BH82" s="232"/>
      <c r="BI82" s="232"/>
      <c r="BJ82" s="230"/>
      <c r="BK82" s="231"/>
      <c r="BL82" s="231"/>
      <c r="BM82" s="231"/>
      <c r="BN82" s="231"/>
      <c r="BO82" s="231"/>
      <c r="BP82" s="231"/>
      <c r="BQ82" s="231"/>
      <c r="BR82" s="232"/>
      <c r="BT82" s="238"/>
      <c r="BU82" s="238"/>
      <c r="BV82" s="238"/>
      <c r="BW82" s="238"/>
      <c r="BX82" s="238"/>
      <c r="BY82" s="238"/>
      <c r="BZ82" s="238"/>
      <c r="CA82" s="238"/>
      <c r="CB82" s="238"/>
    </row>
    <row r="83" spans="2:80" s="211" customFormat="1" ht="9" customHeight="1" x14ac:dyDescent="0.25">
      <c r="B83" s="230"/>
      <c r="C83" s="231"/>
      <c r="D83" s="231"/>
      <c r="E83" s="231"/>
      <c r="F83" s="231"/>
      <c r="G83" s="231"/>
      <c r="H83" s="231"/>
      <c r="I83" s="231"/>
      <c r="J83" s="232"/>
      <c r="K83" s="212"/>
      <c r="L83" s="230"/>
      <c r="M83" s="231"/>
      <c r="N83" s="231"/>
      <c r="O83" s="231"/>
      <c r="P83" s="231"/>
      <c r="Q83" s="231"/>
      <c r="R83" s="231"/>
      <c r="S83" s="231"/>
      <c r="T83" s="232"/>
      <c r="U83" s="212"/>
      <c r="V83" s="230"/>
      <c r="W83" s="231"/>
      <c r="X83" s="231"/>
      <c r="Y83" s="231"/>
      <c r="Z83" s="231"/>
      <c r="AA83" s="231"/>
      <c r="AB83" s="231"/>
      <c r="AC83" s="231"/>
      <c r="AD83" s="232"/>
      <c r="AE83" s="212"/>
      <c r="AF83" s="230"/>
      <c r="AG83" s="231"/>
      <c r="AH83" s="231"/>
      <c r="AI83" s="231"/>
      <c r="AJ83" s="231"/>
      <c r="AK83" s="231"/>
      <c r="AL83" s="231"/>
      <c r="AM83" s="231"/>
      <c r="AN83" s="232"/>
      <c r="AO83" s="212"/>
      <c r="AP83" s="230"/>
      <c r="AQ83" s="231"/>
      <c r="AR83" s="231"/>
      <c r="AS83" s="231"/>
      <c r="AT83" s="231"/>
      <c r="AU83" s="231"/>
      <c r="AV83" s="231"/>
      <c r="AW83" s="231"/>
      <c r="AX83" s="232"/>
      <c r="AY83" s="212"/>
      <c r="AZ83" s="230"/>
      <c r="BA83" s="231"/>
      <c r="BB83" s="231"/>
      <c r="BC83" s="231"/>
      <c r="BD83" s="231"/>
      <c r="BE83" s="231"/>
      <c r="BF83" s="231"/>
      <c r="BG83" s="231"/>
      <c r="BH83" s="232"/>
      <c r="BI83" s="232"/>
      <c r="BJ83" s="230"/>
      <c r="BK83" s="231"/>
      <c r="BL83" s="231"/>
      <c r="BM83" s="231"/>
      <c r="BN83" s="231"/>
      <c r="BO83" s="231"/>
      <c r="BP83" s="231"/>
      <c r="BQ83" s="231"/>
      <c r="BR83" s="232"/>
      <c r="BT83" s="238"/>
      <c r="BU83" s="238"/>
      <c r="BV83" s="238"/>
      <c r="BW83" s="238"/>
      <c r="BX83" s="238"/>
      <c r="BY83" s="238"/>
      <c r="BZ83" s="238"/>
      <c r="CA83" s="238"/>
      <c r="CB83" s="238"/>
    </row>
    <row r="84" spans="2:80" s="211" customFormat="1" ht="9" customHeight="1" x14ac:dyDescent="0.25">
      <c r="B84" s="230"/>
      <c r="C84" s="231"/>
      <c r="D84" s="231"/>
      <c r="E84" s="231"/>
      <c r="F84" s="231"/>
      <c r="G84" s="231"/>
      <c r="H84" s="231"/>
      <c r="I84" s="231"/>
      <c r="J84" s="232"/>
      <c r="K84" s="212"/>
      <c r="L84" s="230"/>
      <c r="M84" s="231"/>
      <c r="N84" s="231"/>
      <c r="O84" s="231"/>
      <c r="P84" s="231"/>
      <c r="Q84" s="231"/>
      <c r="R84" s="231"/>
      <c r="S84" s="231"/>
      <c r="T84" s="232"/>
      <c r="U84" s="212"/>
      <c r="V84" s="230"/>
      <c r="W84" s="231"/>
      <c r="X84" s="231"/>
      <c r="Y84" s="231"/>
      <c r="Z84" s="231"/>
      <c r="AA84" s="231"/>
      <c r="AB84" s="231"/>
      <c r="AC84" s="231"/>
      <c r="AD84" s="232"/>
      <c r="AE84" s="212"/>
      <c r="AF84" s="230"/>
      <c r="AG84" s="231"/>
      <c r="AH84" s="231"/>
      <c r="AI84" s="231"/>
      <c r="AJ84" s="231"/>
      <c r="AK84" s="231"/>
      <c r="AL84" s="231"/>
      <c r="AM84" s="231"/>
      <c r="AN84" s="232"/>
      <c r="AO84" s="212"/>
      <c r="AP84" s="230"/>
      <c r="AQ84" s="231"/>
      <c r="AR84" s="231"/>
      <c r="AS84" s="231"/>
      <c r="AT84" s="231"/>
      <c r="AU84" s="231"/>
      <c r="AV84" s="231"/>
      <c r="AW84" s="231"/>
      <c r="AX84" s="232"/>
      <c r="AY84" s="212"/>
      <c r="AZ84" s="230"/>
      <c r="BA84" s="231"/>
      <c r="BB84" s="231"/>
      <c r="BC84" s="231"/>
      <c r="BD84" s="231"/>
      <c r="BE84" s="231"/>
      <c r="BF84" s="231"/>
      <c r="BG84" s="231"/>
      <c r="BH84" s="232"/>
      <c r="BI84" s="232"/>
      <c r="BJ84" s="230"/>
      <c r="BK84" s="231"/>
      <c r="BL84" s="231"/>
      <c r="BM84" s="231"/>
      <c r="BN84" s="231"/>
      <c r="BO84" s="231"/>
      <c r="BP84" s="231"/>
      <c r="BQ84" s="231"/>
      <c r="BR84" s="232"/>
      <c r="BT84" s="238"/>
      <c r="BU84" s="238"/>
      <c r="BV84" s="238"/>
      <c r="BW84" s="238"/>
      <c r="BX84" s="238"/>
      <c r="BY84" s="238"/>
      <c r="BZ84" s="238"/>
      <c r="CA84" s="238"/>
      <c r="CB84" s="238"/>
    </row>
    <row r="85" spans="2:80" s="211" customFormat="1" ht="9" customHeight="1" x14ac:dyDescent="0.25">
      <c r="B85" s="213"/>
      <c r="C85" s="212"/>
      <c r="D85" s="212"/>
      <c r="E85" s="212"/>
      <c r="F85" s="212"/>
      <c r="G85" s="212"/>
      <c r="H85" s="212"/>
      <c r="I85" s="212"/>
      <c r="J85" s="214"/>
      <c r="K85" s="212"/>
      <c r="L85" s="213"/>
      <c r="M85" s="212"/>
      <c r="N85" s="212"/>
      <c r="O85" s="212"/>
      <c r="P85" s="212"/>
      <c r="Q85" s="212"/>
      <c r="R85" s="212"/>
      <c r="S85" s="212"/>
      <c r="T85" s="214"/>
      <c r="U85" s="212"/>
      <c r="V85" s="213"/>
      <c r="W85" s="212"/>
      <c r="X85" s="212"/>
      <c r="Y85" s="212"/>
      <c r="Z85" s="212"/>
      <c r="AA85" s="212"/>
      <c r="AB85" s="212"/>
      <c r="AC85" s="212"/>
      <c r="AD85" s="214"/>
      <c r="AE85" s="212"/>
      <c r="AF85" s="213"/>
      <c r="AG85" s="212"/>
      <c r="AH85" s="212"/>
      <c r="AI85" s="212"/>
      <c r="AJ85" s="212"/>
      <c r="AK85" s="212"/>
      <c r="AL85" s="212"/>
      <c r="AM85" s="212"/>
      <c r="AN85" s="214"/>
      <c r="AO85" s="212"/>
      <c r="AP85" s="213"/>
      <c r="AQ85" s="212"/>
      <c r="AR85" s="212"/>
      <c r="AS85" s="212"/>
      <c r="AT85" s="212"/>
      <c r="AU85" s="212"/>
      <c r="AV85" s="212"/>
      <c r="AW85" s="212"/>
      <c r="AX85" s="214"/>
      <c r="AY85" s="212"/>
      <c r="AZ85" s="213"/>
      <c r="BA85" s="212"/>
      <c r="BB85" s="212"/>
      <c r="BC85" s="212"/>
      <c r="BD85" s="212"/>
      <c r="BE85" s="212"/>
      <c r="BF85" s="212"/>
      <c r="BG85" s="212"/>
      <c r="BH85" s="214"/>
      <c r="BI85" s="214"/>
      <c r="BJ85" s="213"/>
      <c r="BK85" s="212"/>
      <c r="BL85" s="212"/>
      <c r="BM85" s="212"/>
      <c r="BN85" s="212"/>
      <c r="BO85" s="212"/>
      <c r="BP85" s="212"/>
      <c r="BQ85" s="212"/>
      <c r="BR85" s="214"/>
      <c r="BT85" s="238"/>
      <c r="BU85" s="238"/>
      <c r="BV85" s="238"/>
      <c r="BW85" s="238"/>
      <c r="BX85" s="238"/>
      <c r="BY85" s="238"/>
      <c r="BZ85" s="238"/>
      <c r="CA85" s="238"/>
      <c r="CB85" s="238"/>
    </row>
    <row r="86" spans="2:80" s="211" customFormat="1" ht="9" customHeight="1" x14ac:dyDescent="0.25">
      <c r="B86" s="223"/>
      <c r="C86" s="224"/>
      <c r="D86" s="224"/>
      <c r="E86" s="224"/>
      <c r="F86" s="224"/>
      <c r="G86" s="224"/>
      <c r="H86" s="224"/>
      <c r="I86" s="224"/>
      <c r="J86" s="225"/>
      <c r="K86" s="212"/>
      <c r="L86" s="223"/>
      <c r="M86" s="224"/>
      <c r="N86" s="224"/>
      <c r="O86" s="224"/>
      <c r="P86" s="224"/>
      <c r="Q86" s="224"/>
      <c r="R86" s="224"/>
      <c r="S86" s="224"/>
      <c r="T86" s="225"/>
      <c r="U86" s="212"/>
      <c r="V86" s="223"/>
      <c r="W86" s="224"/>
      <c r="X86" s="224"/>
      <c r="Y86" s="224"/>
      <c r="Z86" s="224"/>
      <c r="AA86" s="224"/>
      <c r="AB86" s="224"/>
      <c r="AC86" s="224"/>
      <c r="AD86" s="225"/>
      <c r="AE86" s="212"/>
      <c r="AF86" s="223"/>
      <c r="AG86" s="224"/>
      <c r="AH86" s="224"/>
      <c r="AI86" s="224"/>
      <c r="AJ86" s="224"/>
      <c r="AK86" s="224"/>
      <c r="AL86" s="224"/>
      <c r="AM86" s="224"/>
      <c r="AN86" s="225"/>
      <c r="AO86" s="212"/>
      <c r="AP86" s="223"/>
      <c r="AQ86" s="224"/>
      <c r="AR86" s="224"/>
      <c r="AS86" s="224"/>
      <c r="AT86" s="224"/>
      <c r="AU86" s="224"/>
      <c r="AV86" s="224"/>
      <c r="AW86" s="224"/>
      <c r="AX86" s="225"/>
      <c r="AY86" s="212"/>
      <c r="AZ86" s="223"/>
      <c r="BA86" s="224"/>
      <c r="BB86" s="224"/>
      <c r="BC86" s="224"/>
      <c r="BD86" s="224"/>
      <c r="BE86" s="224"/>
      <c r="BF86" s="224"/>
      <c r="BG86" s="224"/>
      <c r="BH86" s="225"/>
      <c r="BI86" s="214"/>
      <c r="BJ86" s="223"/>
      <c r="BK86" s="224"/>
      <c r="BL86" s="224"/>
      <c r="BM86" s="224"/>
      <c r="BN86" s="224"/>
      <c r="BO86" s="224"/>
      <c r="BP86" s="224"/>
      <c r="BQ86" s="224"/>
      <c r="BR86" s="225"/>
      <c r="BT86" s="238"/>
      <c r="BU86" s="238"/>
      <c r="BV86" s="238"/>
      <c r="BW86" s="238"/>
      <c r="BX86" s="238"/>
      <c r="BY86" s="238"/>
      <c r="BZ86" s="238"/>
      <c r="CA86" s="238"/>
      <c r="CB86" s="238"/>
    </row>
    <row r="87" spans="2:80" s="211" customFormat="1" ht="9" customHeight="1" x14ac:dyDescent="0.25">
      <c r="B87" s="543" t="s">
        <v>649</v>
      </c>
      <c r="C87" s="543"/>
      <c r="D87" s="543"/>
      <c r="E87" s="543"/>
      <c r="F87" s="543"/>
      <c r="G87" s="542">
        <f>CEILING(5284*B3,1)</f>
        <v>10040</v>
      </c>
      <c r="H87" s="542"/>
      <c r="I87" s="542"/>
      <c r="J87" s="542"/>
      <c r="K87" s="200"/>
      <c r="L87" s="543" t="s">
        <v>649</v>
      </c>
      <c r="M87" s="543"/>
      <c r="N87" s="543"/>
      <c r="O87" s="543"/>
      <c r="P87" s="543"/>
      <c r="Q87" s="542">
        <f>CEILING(5015*B3,1)</f>
        <v>9529</v>
      </c>
      <c r="R87" s="542"/>
      <c r="S87" s="542"/>
      <c r="T87" s="542"/>
      <c r="U87" s="200"/>
      <c r="V87" s="543" t="s">
        <v>650</v>
      </c>
      <c r="W87" s="543"/>
      <c r="X87" s="543"/>
      <c r="Y87" s="543"/>
      <c r="Z87" s="543"/>
      <c r="AA87" s="542">
        <f>CEILING(6642*B3,1)</f>
        <v>12620</v>
      </c>
      <c r="AB87" s="542"/>
      <c r="AC87" s="542"/>
      <c r="AD87" s="542"/>
      <c r="AE87" s="200"/>
      <c r="AF87" s="543" t="s">
        <v>651</v>
      </c>
      <c r="AG87" s="543"/>
      <c r="AH87" s="543"/>
      <c r="AI87" s="543"/>
      <c r="AJ87" s="543"/>
      <c r="AK87" s="542">
        <f>CEILING(3212*B3,1)</f>
        <v>6103</v>
      </c>
      <c r="AL87" s="542"/>
      <c r="AM87" s="542"/>
      <c r="AN87" s="542"/>
      <c r="AO87" s="200"/>
      <c r="AP87" s="543" t="s">
        <v>651</v>
      </c>
      <c r="AQ87" s="543"/>
      <c r="AR87" s="543"/>
      <c r="AS87" s="543"/>
      <c r="AT87" s="543"/>
      <c r="AU87" s="542">
        <f>CEILING(3715*B3,1)</f>
        <v>7059</v>
      </c>
      <c r="AV87" s="542"/>
      <c r="AW87" s="542"/>
      <c r="AX87" s="542"/>
      <c r="AY87" s="200"/>
      <c r="AZ87" s="543" t="s">
        <v>652</v>
      </c>
      <c r="BA87" s="543"/>
      <c r="BB87" s="543"/>
      <c r="BC87" s="543"/>
      <c r="BD87" s="543"/>
      <c r="BE87" s="542">
        <f>CEILING(1306*B3,1)</f>
        <v>2482</v>
      </c>
      <c r="BF87" s="542"/>
      <c r="BG87" s="542"/>
      <c r="BH87" s="542"/>
      <c r="BI87" s="200"/>
      <c r="BJ87" s="543" t="s">
        <v>653</v>
      </c>
      <c r="BK87" s="543"/>
      <c r="BL87" s="543"/>
      <c r="BM87" s="543"/>
      <c r="BN87" s="543"/>
      <c r="BO87" s="542">
        <f>CEILING(2971*B3,1)</f>
        <v>5645</v>
      </c>
      <c r="BP87" s="542"/>
      <c r="BQ87" s="542"/>
      <c r="BR87" s="542"/>
      <c r="BT87" s="544"/>
      <c r="BU87" s="544"/>
      <c r="BV87" s="544"/>
      <c r="BW87" s="544"/>
      <c r="BX87" s="544"/>
      <c r="BY87" s="545"/>
      <c r="BZ87" s="545"/>
      <c r="CA87" s="545"/>
      <c r="CB87" s="545"/>
    </row>
    <row r="88" spans="2:80" s="211" customFormat="1" ht="1.5" customHeight="1" x14ac:dyDescent="0.25">
      <c r="B88" s="246"/>
      <c r="C88" s="247"/>
      <c r="D88" s="247"/>
      <c r="E88" s="231"/>
      <c r="F88" s="231"/>
      <c r="G88" s="212"/>
      <c r="H88" s="212"/>
      <c r="I88" s="212"/>
      <c r="J88" s="214"/>
      <c r="K88" s="212"/>
      <c r="L88" s="246"/>
      <c r="M88" s="247"/>
      <c r="N88" s="247"/>
      <c r="O88" s="231"/>
      <c r="P88" s="231"/>
      <c r="Q88" s="212"/>
      <c r="R88" s="212"/>
      <c r="S88" s="212"/>
      <c r="T88" s="214"/>
      <c r="U88" s="212"/>
      <c r="V88" s="246"/>
      <c r="W88" s="247"/>
      <c r="X88" s="247"/>
      <c r="Y88" s="231"/>
      <c r="Z88" s="231"/>
      <c r="AA88" s="212"/>
      <c r="AB88" s="212"/>
      <c r="AC88" s="212"/>
      <c r="AD88" s="214"/>
      <c r="AE88" s="212"/>
      <c r="AF88" s="246"/>
      <c r="AG88" s="247"/>
      <c r="AH88" s="247"/>
      <c r="AI88" s="231"/>
      <c r="AJ88" s="231"/>
      <c r="AK88" s="212"/>
      <c r="AL88" s="212"/>
      <c r="AM88" s="212"/>
      <c r="AN88" s="214"/>
      <c r="AO88" s="212"/>
      <c r="AP88" s="246"/>
      <c r="AQ88" s="247"/>
      <c r="AR88" s="247"/>
      <c r="AS88" s="231"/>
      <c r="AT88" s="231"/>
      <c r="AU88" s="212"/>
      <c r="AV88" s="212"/>
      <c r="AW88" s="212"/>
      <c r="AX88" s="214"/>
      <c r="AY88" s="212"/>
      <c r="AZ88" s="246"/>
      <c r="BA88" s="247"/>
      <c r="BB88" s="247"/>
      <c r="BC88" s="231"/>
      <c r="BD88" s="231"/>
      <c r="BE88" s="212"/>
      <c r="BF88" s="212"/>
      <c r="BG88" s="212"/>
      <c r="BH88" s="214"/>
      <c r="BI88" s="212"/>
      <c r="BJ88" s="246"/>
      <c r="BK88" s="247"/>
      <c r="BL88" s="247"/>
      <c r="BM88" s="231"/>
      <c r="BN88" s="231"/>
      <c r="BO88" s="212"/>
      <c r="BP88" s="212"/>
      <c r="BQ88" s="212"/>
      <c r="BR88" s="214"/>
      <c r="BT88" s="235"/>
      <c r="BU88" s="235"/>
      <c r="BV88" s="235"/>
      <c r="BW88" s="235"/>
      <c r="BX88" s="235"/>
    </row>
    <row r="89" spans="2:80" s="211" customFormat="1" ht="9" x14ac:dyDescent="0.25">
      <c r="B89" s="556" t="s">
        <v>654</v>
      </c>
      <c r="C89" s="557"/>
      <c r="D89" s="558"/>
      <c r="E89" s="554" t="s">
        <v>615</v>
      </c>
      <c r="F89" s="554"/>
      <c r="G89" s="554"/>
      <c r="H89" s="554"/>
      <c r="I89" s="554"/>
      <c r="J89" s="555"/>
      <c r="K89" s="212"/>
      <c r="L89" s="556" t="s">
        <v>655</v>
      </c>
      <c r="M89" s="557"/>
      <c r="N89" s="558"/>
      <c r="O89" s="554" t="s">
        <v>615</v>
      </c>
      <c r="P89" s="554"/>
      <c r="Q89" s="554"/>
      <c r="R89" s="554"/>
      <c r="S89" s="554"/>
      <c r="T89" s="555"/>
      <c r="U89" s="212"/>
      <c r="V89" s="556" t="s">
        <v>656</v>
      </c>
      <c r="W89" s="557"/>
      <c r="X89" s="558"/>
      <c r="Y89" s="554" t="s">
        <v>615</v>
      </c>
      <c r="Z89" s="554"/>
      <c r="AA89" s="554"/>
      <c r="AB89" s="554"/>
      <c r="AC89" s="554"/>
      <c r="AD89" s="555"/>
      <c r="AE89" s="212"/>
      <c r="AF89" s="556" t="s">
        <v>657</v>
      </c>
      <c r="AG89" s="557"/>
      <c r="AH89" s="558"/>
      <c r="AI89" s="554" t="s">
        <v>341</v>
      </c>
      <c r="AJ89" s="554"/>
      <c r="AK89" s="554"/>
      <c r="AL89" s="554"/>
      <c r="AM89" s="554"/>
      <c r="AN89" s="555"/>
      <c r="AO89" s="212"/>
      <c r="AP89" s="556" t="s">
        <v>658</v>
      </c>
      <c r="AQ89" s="557"/>
      <c r="AR89" s="558"/>
      <c r="AS89" s="554" t="s">
        <v>341</v>
      </c>
      <c r="AT89" s="554"/>
      <c r="AU89" s="554"/>
      <c r="AV89" s="554"/>
      <c r="AW89" s="554"/>
      <c r="AX89" s="555"/>
      <c r="AY89" s="212"/>
      <c r="AZ89" s="556" t="s">
        <v>659</v>
      </c>
      <c r="BA89" s="557"/>
      <c r="BB89" s="558"/>
      <c r="BC89" s="554" t="s">
        <v>341</v>
      </c>
      <c r="BD89" s="554"/>
      <c r="BE89" s="554"/>
      <c r="BF89" s="554"/>
      <c r="BG89" s="554"/>
      <c r="BH89" s="555"/>
      <c r="BI89" s="231"/>
      <c r="BJ89" s="556" t="s">
        <v>660</v>
      </c>
      <c r="BK89" s="557"/>
      <c r="BL89" s="558"/>
      <c r="BM89" s="554" t="s">
        <v>341</v>
      </c>
      <c r="BN89" s="554"/>
      <c r="BO89" s="554"/>
      <c r="BP89" s="554"/>
      <c r="BQ89" s="554"/>
      <c r="BR89" s="555"/>
    </row>
    <row r="90" spans="2:80" s="211" customFormat="1" ht="9" x14ac:dyDescent="0.25">
      <c r="B90" s="546" t="s">
        <v>661</v>
      </c>
      <c r="C90" s="547"/>
      <c r="D90" s="547"/>
      <c r="E90" s="547"/>
      <c r="F90" s="547"/>
      <c r="G90" s="547"/>
      <c r="H90" s="547"/>
      <c r="I90" s="547"/>
      <c r="J90" s="548"/>
      <c r="K90" s="212"/>
      <c r="L90" s="546" t="s">
        <v>662</v>
      </c>
      <c r="M90" s="547"/>
      <c r="N90" s="547"/>
      <c r="O90" s="547"/>
      <c r="P90" s="547"/>
      <c r="Q90" s="547"/>
      <c r="R90" s="547"/>
      <c r="S90" s="547"/>
      <c r="T90" s="548"/>
      <c r="U90" s="212"/>
      <c r="V90" s="546" t="s">
        <v>141</v>
      </c>
      <c r="W90" s="547"/>
      <c r="X90" s="547"/>
      <c r="Y90" s="547"/>
      <c r="Z90" s="547"/>
      <c r="AA90" s="547"/>
      <c r="AB90" s="547"/>
      <c r="AC90" s="547"/>
      <c r="AD90" s="548"/>
      <c r="AE90" s="212"/>
      <c r="AF90" s="546" t="s">
        <v>663</v>
      </c>
      <c r="AG90" s="547"/>
      <c r="AH90" s="547"/>
      <c r="AI90" s="547"/>
      <c r="AJ90" s="547"/>
      <c r="AK90" s="547"/>
      <c r="AL90" s="547"/>
      <c r="AM90" s="547"/>
      <c r="AN90" s="548"/>
      <c r="AO90" s="212"/>
      <c r="AP90" s="546" t="s">
        <v>663</v>
      </c>
      <c r="AQ90" s="547"/>
      <c r="AR90" s="547"/>
      <c r="AS90" s="547"/>
      <c r="AT90" s="547"/>
      <c r="AU90" s="547"/>
      <c r="AV90" s="547"/>
      <c r="AW90" s="547"/>
      <c r="AX90" s="548"/>
      <c r="AY90" s="212"/>
      <c r="AZ90" s="546" t="s">
        <v>663</v>
      </c>
      <c r="BA90" s="547"/>
      <c r="BB90" s="547"/>
      <c r="BC90" s="547"/>
      <c r="BD90" s="547"/>
      <c r="BE90" s="547"/>
      <c r="BF90" s="547"/>
      <c r="BG90" s="547"/>
      <c r="BH90" s="548"/>
      <c r="BI90" s="232"/>
      <c r="BJ90" s="546" t="s">
        <v>663</v>
      </c>
      <c r="BK90" s="547"/>
      <c r="BL90" s="547"/>
      <c r="BM90" s="547"/>
      <c r="BN90" s="547"/>
      <c r="BO90" s="547"/>
      <c r="BP90" s="547"/>
      <c r="BQ90" s="547"/>
      <c r="BR90" s="548"/>
    </row>
    <row r="91" spans="2:80" s="211" customFormat="1" ht="9" x14ac:dyDescent="0.25">
      <c r="B91" s="217"/>
      <c r="C91" s="218"/>
      <c r="D91" s="218"/>
      <c r="E91" s="218"/>
      <c r="F91" s="218"/>
      <c r="G91" s="218"/>
      <c r="H91" s="218"/>
      <c r="I91" s="218"/>
      <c r="J91" s="219"/>
      <c r="K91" s="212"/>
      <c r="L91" s="217"/>
      <c r="M91" s="218"/>
      <c r="N91" s="218"/>
      <c r="O91" s="218"/>
      <c r="P91" s="218"/>
      <c r="Q91" s="218"/>
      <c r="R91" s="218"/>
      <c r="S91" s="218"/>
      <c r="T91" s="219"/>
      <c r="U91" s="212"/>
      <c r="V91" s="217"/>
      <c r="W91" s="218"/>
      <c r="X91" s="218"/>
      <c r="Y91" s="218"/>
      <c r="Z91" s="218"/>
      <c r="AA91" s="218"/>
      <c r="AB91" s="218"/>
      <c r="AC91" s="218"/>
      <c r="AD91" s="219"/>
      <c r="AE91" s="212"/>
      <c r="AF91" s="217"/>
      <c r="AG91" s="218"/>
      <c r="AH91" s="218"/>
      <c r="AI91" s="218"/>
      <c r="AJ91" s="218"/>
      <c r="AK91" s="218"/>
      <c r="AL91" s="218"/>
      <c r="AM91" s="218"/>
      <c r="AN91" s="219"/>
      <c r="AO91" s="212"/>
      <c r="AP91" s="217"/>
      <c r="AQ91" s="218"/>
      <c r="AR91" s="218"/>
      <c r="AS91" s="218"/>
      <c r="AT91" s="218"/>
      <c r="AU91" s="218"/>
      <c r="AV91" s="218"/>
      <c r="AW91" s="218"/>
      <c r="AX91" s="219"/>
      <c r="AY91" s="212"/>
      <c r="AZ91" s="217"/>
      <c r="BA91" s="218"/>
      <c r="BB91" s="218"/>
      <c r="BC91" s="218"/>
      <c r="BD91" s="218"/>
      <c r="BE91" s="218"/>
      <c r="BF91" s="218"/>
      <c r="BG91" s="218"/>
      <c r="BH91" s="219"/>
      <c r="BI91" s="232"/>
      <c r="BJ91" s="217"/>
      <c r="BK91" s="218"/>
      <c r="BL91" s="218"/>
      <c r="BM91" s="218"/>
      <c r="BN91" s="218"/>
      <c r="BO91" s="218"/>
      <c r="BP91" s="218"/>
      <c r="BQ91" s="218"/>
      <c r="BR91" s="219"/>
    </row>
    <row r="92" spans="2:80" s="211" customFormat="1" ht="9" x14ac:dyDescent="0.25">
      <c r="B92" s="217"/>
      <c r="C92" s="218"/>
      <c r="D92" s="218"/>
      <c r="E92" s="218"/>
      <c r="F92" s="218"/>
      <c r="G92" s="218"/>
      <c r="H92" s="218"/>
      <c r="I92" s="218"/>
      <c r="J92" s="219"/>
      <c r="K92" s="212"/>
      <c r="L92" s="217"/>
      <c r="M92" s="218"/>
      <c r="N92" s="218"/>
      <c r="O92" s="218"/>
      <c r="P92" s="218"/>
      <c r="Q92" s="218"/>
      <c r="R92" s="218"/>
      <c r="S92" s="218"/>
      <c r="T92" s="219"/>
      <c r="U92" s="212"/>
      <c r="V92" s="217"/>
      <c r="W92" s="218"/>
      <c r="X92" s="218"/>
      <c r="Y92" s="218"/>
      <c r="Z92" s="218"/>
      <c r="AA92" s="218"/>
      <c r="AB92" s="218"/>
      <c r="AC92" s="218"/>
      <c r="AD92" s="219"/>
      <c r="AE92" s="212"/>
      <c r="AF92" s="217"/>
      <c r="AG92" s="218"/>
      <c r="AH92" s="218"/>
      <c r="AI92" s="218"/>
      <c r="AJ92" s="218"/>
      <c r="AK92" s="218"/>
      <c r="AL92" s="218"/>
      <c r="AM92" s="218"/>
      <c r="AN92" s="219"/>
      <c r="AO92" s="212"/>
      <c r="AP92" s="217"/>
      <c r="AQ92" s="218"/>
      <c r="AR92" s="218"/>
      <c r="AS92" s="218"/>
      <c r="AT92" s="218"/>
      <c r="AU92" s="218"/>
      <c r="AV92" s="218"/>
      <c r="AW92" s="218"/>
      <c r="AX92" s="219"/>
      <c r="AY92" s="212"/>
      <c r="AZ92" s="217"/>
      <c r="BA92" s="218"/>
      <c r="BB92" s="218"/>
      <c r="BC92" s="218"/>
      <c r="BD92" s="218"/>
      <c r="BE92" s="218"/>
      <c r="BF92" s="218"/>
      <c r="BG92" s="218"/>
      <c r="BH92" s="219"/>
      <c r="BI92" s="232"/>
      <c r="BJ92" s="217"/>
      <c r="BK92" s="218"/>
      <c r="BL92" s="218"/>
      <c r="BM92" s="218"/>
      <c r="BN92" s="218"/>
      <c r="BO92" s="218"/>
      <c r="BP92" s="218"/>
      <c r="BQ92" s="218"/>
      <c r="BR92" s="219"/>
    </row>
    <row r="93" spans="2:80" s="211" customFormat="1" ht="9" x14ac:dyDescent="0.25">
      <c r="B93" s="213"/>
      <c r="C93" s="212"/>
      <c r="D93" s="212"/>
      <c r="E93" s="212"/>
      <c r="F93" s="212"/>
      <c r="G93" s="212"/>
      <c r="H93" s="212"/>
      <c r="I93" s="212"/>
      <c r="J93" s="214"/>
      <c r="K93" s="212"/>
      <c r="L93" s="213"/>
      <c r="M93" s="212"/>
      <c r="N93" s="212"/>
      <c r="O93" s="212"/>
      <c r="P93" s="212"/>
      <c r="Q93" s="212"/>
      <c r="R93" s="212"/>
      <c r="S93" s="212"/>
      <c r="T93" s="214"/>
      <c r="U93" s="212"/>
      <c r="V93" s="213"/>
      <c r="W93" s="212"/>
      <c r="X93" s="212"/>
      <c r="Y93" s="212"/>
      <c r="Z93" s="212"/>
      <c r="AA93" s="212"/>
      <c r="AB93" s="212"/>
      <c r="AC93" s="212"/>
      <c r="AD93" s="214"/>
      <c r="AE93" s="212"/>
      <c r="AF93" s="213"/>
      <c r="AG93" s="212"/>
      <c r="AH93" s="212"/>
      <c r="AI93" s="212"/>
      <c r="AJ93" s="212"/>
      <c r="AK93" s="212"/>
      <c r="AL93" s="212"/>
      <c r="AM93" s="212"/>
      <c r="AN93" s="214"/>
      <c r="AO93" s="212"/>
      <c r="AP93" s="213"/>
      <c r="AQ93" s="212"/>
      <c r="AR93" s="212"/>
      <c r="AS93" s="212"/>
      <c r="AT93" s="212"/>
      <c r="AU93" s="212"/>
      <c r="AV93" s="212"/>
      <c r="AW93" s="212"/>
      <c r="AX93" s="214"/>
      <c r="AY93" s="212"/>
      <c r="AZ93" s="213"/>
      <c r="BA93" s="212"/>
      <c r="BB93" s="212"/>
      <c r="BC93" s="212"/>
      <c r="BD93" s="212"/>
      <c r="BE93" s="212"/>
      <c r="BF93" s="212"/>
      <c r="BG93" s="212"/>
      <c r="BH93" s="214"/>
      <c r="BI93" s="232"/>
      <c r="BJ93" s="213"/>
      <c r="BK93" s="212"/>
      <c r="BL93" s="212"/>
      <c r="BM93" s="212"/>
      <c r="BN93" s="212"/>
      <c r="BO93" s="212"/>
      <c r="BP93" s="212"/>
      <c r="BQ93" s="212"/>
      <c r="BR93" s="214"/>
    </row>
    <row r="94" spans="2:80" s="211" customFormat="1" ht="9" x14ac:dyDescent="0.25">
      <c r="B94" s="230"/>
      <c r="C94" s="231"/>
      <c r="D94" s="231"/>
      <c r="E94" s="231"/>
      <c r="F94" s="231"/>
      <c r="G94" s="231"/>
      <c r="H94" s="231"/>
      <c r="I94" s="231"/>
      <c r="J94" s="232"/>
      <c r="K94" s="212"/>
      <c r="L94" s="230"/>
      <c r="M94" s="231"/>
      <c r="N94" s="231"/>
      <c r="O94" s="231"/>
      <c r="P94" s="231"/>
      <c r="Q94" s="231"/>
      <c r="R94" s="231"/>
      <c r="S94" s="231"/>
      <c r="T94" s="232"/>
      <c r="U94" s="212"/>
      <c r="V94" s="230"/>
      <c r="W94" s="231"/>
      <c r="X94" s="231"/>
      <c r="Y94" s="231"/>
      <c r="Z94" s="231"/>
      <c r="AA94" s="231"/>
      <c r="AB94" s="231"/>
      <c r="AC94" s="231"/>
      <c r="AD94" s="232"/>
      <c r="AE94" s="212"/>
      <c r="AF94" s="230"/>
      <c r="AG94" s="231"/>
      <c r="AH94" s="231"/>
      <c r="AI94" s="231"/>
      <c r="AJ94" s="231"/>
      <c r="AK94" s="231"/>
      <c r="AL94" s="231"/>
      <c r="AM94" s="231"/>
      <c r="AN94" s="232"/>
      <c r="AO94" s="212"/>
      <c r="AP94" s="230"/>
      <c r="AQ94" s="231"/>
      <c r="AR94" s="231"/>
      <c r="AS94" s="231"/>
      <c r="AT94" s="231"/>
      <c r="AU94" s="231"/>
      <c r="AV94" s="231"/>
      <c r="AW94" s="231"/>
      <c r="AX94" s="232"/>
      <c r="AY94" s="212"/>
      <c r="AZ94" s="230"/>
      <c r="BA94" s="231"/>
      <c r="BB94" s="231"/>
      <c r="BC94" s="231"/>
      <c r="BD94" s="231"/>
      <c r="BE94" s="231"/>
      <c r="BF94" s="231"/>
      <c r="BG94" s="231"/>
      <c r="BH94" s="232"/>
      <c r="BI94" s="232"/>
      <c r="BJ94" s="230"/>
      <c r="BK94" s="231"/>
      <c r="BL94" s="231"/>
      <c r="BM94" s="231"/>
      <c r="BN94" s="231"/>
      <c r="BO94" s="231"/>
      <c r="BP94" s="231"/>
      <c r="BQ94" s="231"/>
      <c r="BR94" s="232"/>
    </row>
    <row r="95" spans="2:80" s="211" customFormat="1" ht="9" x14ac:dyDescent="0.25">
      <c r="B95" s="230"/>
      <c r="C95" s="231"/>
      <c r="D95" s="231"/>
      <c r="E95" s="231"/>
      <c r="F95" s="231"/>
      <c r="G95" s="231"/>
      <c r="H95" s="231"/>
      <c r="I95" s="231"/>
      <c r="J95" s="232"/>
      <c r="K95" s="212"/>
      <c r="L95" s="230"/>
      <c r="M95" s="231"/>
      <c r="N95" s="231"/>
      <c r="O95" s="231"/>
      <c r="P95" s="231"/>
      <c r="Q95" s="231"/>
      <c r="R95" s="231"/>
      <c r="S95" s="231"/>
      <c r="T95" s="232"/>
      <c r="U95" s="212"/>
      <c r="V95" s="230"/>
      <c r="W95" s="231"/>
      <c r="X95" s="231"/>
      <c r="Y95" s="231"/>
      <c r="Z95" s="231"/>
      <c r="AA95" s="231"/>
      <c r="AB95" s="231"/>
      <c r="AC95" s="231"/>
      <c r="AD95" s="232"/>
      <c r="AE95" s="212"/>
      <c r="AF95" s="230"/>
      <c r="AG95" s="231"/>
      <c r="AH95" s="231"/>
      <c r="AI95" s="231"/>
      <c r="AJ95" s="231"/>
      <c r="AK95" s="231"/>
      <c r="AL95" s="231"/>
      <c r="AM95" s="231"/>
      <c r="AN95" s="232"/>
      <c r="AO95" s="212"/>
      <c r="AP95" s="230"/>
      <c r="AQ95" s="231"/>
      <c r="AR95" s="231"/>
      <c r="AS95" s="231"/>
      <c r="AT95" s="231"/>
      <c r="AU95" s="231"/>
      <c r="AV95" s="231"/>
      <c r="AW95" s="231"/>
      <c r="AX95" s="232"/>
      <c r="AY95" s="212"/>
      <c r="AZ95" s="230"/>
      <c r="BA95" s="231"/>
      <c r="BB95" s="231"/>
      <c r="BC95" s="231"/>
      <c r="BD95" s="231"/>
      <c r="BE95" s="231"/>
      <c r="BF95" s="231"/>
      <c r="BG95" s="231"/>
      <c r="BH95" s="232"/>
      <c r="BI95" s="232"/>
      <c r="BJ95" s="230"/>
      <c r="BK95" s="231"/>
      <c r="BL95" s="231"/>
      <c r="BM95" s="231"/>
      <c r="BN95" s="231"/>
      <c r="BO95" s="231"/>
      <c r="BP95" s="231"/>
      <c r="BQ95" s="231"/>
      <c r="BR95" s="232"/>
    </row>
    <row r="96" spans="2:80" s="211" customFormat="1" ht="9" x14ac:dyDescent="0.25">
      <c r="B96" s="230"/>
      <c r="C96" s="231"/>
      <c r="D96" s="231"/>
      <c r="E96" s="231"/>
      <c r="F96" s="231"/>
      <c r="G96" s="231"/>
      <c r="H96" s="231"/>
      <c r="I96" s="231"/>
      <c r="J96" s="232"/>
      <c r="K96" s="212"/>
      <c r="L96" s="230"/>
      <c r="M96" s="231"/>
      <c r="N96" s="231"/>
      <c r="O96" s="231"/>
      <c r="P96" s="231"/>
      <c r="Q96" s="231"/>
      <c r="R96" s="231"/>
      <c r="S96" s="231"/>
      <c r="T96" s="232"/>
      <c r="U96" s="212"/>
      <c r="V96" s="230"/>
      <c r="W96" s="231"/>
      <c r="X96" s="231"/>
      <c r="Y96" s="231"/>
      <c r="Z96" s="231"/>
      <c r="AA96" s="231"/>
      <c r="AB96" s="231"/>
      <c r="AC96" s="231"/>
      <c r="AD96" s="232"/>
      <c r="AE96" s="212"/>
      <c r="AF96" s="230"/>
      <c r="AG96" s="231"/>
      <c r="AH96" s="231"/>
      <c r="AI96" s="231"/>
      <c r="AJ96" s="231"/>
      <c r="AK96" s="231"/>
      <c r="AL96" s="231"/>
      <c r="AM96" s="231"/>
      <c r="AN96" s="232"/>
      <c r="AO96" s="212"/>
      <c r="AP96" s="230"/>
      <c r="AQ96" s="231"/>
      <c r="AR96" s="231"/>
      <c r="AS96" s="231"/>
      <c r="AT96" s="231"/>
      <c r="AU96" s="231"/>
      <c r="AV96" s="231"/>
      <c r="AW96" s="231"/>
      <c r="AX96" s="232"/>
      <c r="AY96" s="212"/>
      <c r="AZ96" s="230"/>
      <c r="BA96" s="231"/>
      <c r="BB96" s="231"/>
      <c r="BC96" s="231"/>
      <c r="BD96" s="231"/>
      <c r="BE96" s="231"/>
      <c r="BF96" s="231"/>
      <c r="BG96" s="231"/>
      <c r="BH96" s="232"/>
      <c r="BI96" s="232"/>
      <c r="BJ96" s="230"/>
      <c r="BK96" s="231"/>
      <c r="BL96" s="231"/>
      <c r="BM96" s="231"/>
      <c r="BN96" s="231"/>
      <c r="BO96" s="231"/>
      <c r="BP96" s="231"/>
      <c r="BQ96" s="231"/>
      <c r="BR96" s="232"/>
    </row>
    <row r="97" spans="2:70" s="211" customFormat="1" ht="9" x14ac:dyDescent="0.25">
      <c r="B97" s="230"/>
      <c r="C97" s="231"/>
      <c r="D97" s="231"/>
      <c r="E97" s="231"/>
      <c r="F97" s="231"/>
      <c r="G97" s="231"/>
      <c r="H97" s="231"/>
      <c r="I97" s="231"/>
      <c r="J97" s="232"/>
      <c r="K97" s="212"/>
      <c r="L97" s="230"/>
      <c r="M97" s="231"/>
      <c r="N97" s="231"/>
      <c r="O97" s="231"/>
      <c r="P97" s="231"/>
      <c r="Q97" s="231"/>
      <c r="R97" s="231"/>
      <c r="S97" s="231"/>
      <c r="T97" s="232"/>
      <c r="U97" s="212"/>
      <c r="V97" s="230"/>
      <c r="W97" s="231"/>
      <c r="X97" s="231"/>
      <c r="Y97" s="231"/>
      <c r="Z97" s="231"/>
      <c r="AA97" s="231"/>
      <c r="AB97" s="231"/>
      <c r="AC97" s="231"/>
      <c r="AD97" s="232"/>
      <c r="AE97" s="212"/>
      <c r="AF97" s="230"/>
      <c r="AG97" s="231"/>
      <c r="AH97" s="231"/>
      <c r="AI97" s="231"/>
      <c r="AJ97" s="231"/>
      <c r="AK97" s="231"/>
      <c r="AL97" s="231"/>
      <c r="AM97" s="231"/>
      <c r="AN97" s="232"/>
      <c r="AO97" s="212"/>
      <c r="AP97" s="230"/>
      <c r="AQ97" s="231"/>
      <c r="AR97" s="231"/>
      <c r="AS97" s="231"/>
      <c r="AT97" s="231"/>
      <c r="AU97" s="231"/>
      <c r="AV97" s="231"/>
      <c r="AW97" s="231"/>
      <c r="AX97" s="232"/>
      <c r="AY97" s="212"/>
      <c r="AZ97" s="230"/>
      <c r="BA97" s="231"/>
      <c r="BB97" s="231"/>
      <c r="BC97" s="231"/>
      <c r="BD97" s="231"/>
      <c r="BE97" s="231"/>
      <c r="BF97" s="231"/>
      <c r="BG97" s="231"/>
      <c r="BH97" s="232"/>
      <c r="BI97" s="232"/>
      <c r="BJ97" s="230"/>
      <c r="BK97" s="231"/>
      <c r="BL97" s="231"/>
      <c r="BM97" s="231"/>
      <c r="BN97" s="231"/>
      <c r="BO97" s="231"/>
      <c r="BP97" s="231"/>
      <c r="BQ97" s="231"/>
      <c r="BR97" s="232"/>
    </row>
    <row r="98" spans="2:70" s="211" customFormat="1" ht="9" x14ac:dyDescent="0.25">
      <c r="B98" s="230"/>
      <c r="C98" s="231"/>
      <c r="D98" s="231"/>
      <c r="E98" s="231"/>
      <c r="F98" s="231"/>
      <c r="G98" s="231"/>
      <c r="H98" s="231"/>
      <c r="I98" s="231"/>
      <c r="J98" s="232"/>
      <c r="K98" s="212"/>
      <c r="L98" s="230"/>
      <c r="M98" s="231"/>
      <c r="N98" s="231"/>
      <c r="O98" s="231"/>
      <c r="P98" s="231"/>
      <c r="Q98" s="231"/>
      <c r="R98" s="231"/>
      <c r="S98" s="231"/>
      <c r="T98" s="232"/>
      <c r="U98" s="212"/>
      <c r="V98" s="230"/>
      <c r="W98" s="231"/>
      <c r="X98" s="231"/>
      <c r="Y98" s="231"/>
      <c r="Z98" s="231"/>
      <c r="AA98" s="231"/>
      <c r="AB98" s="231"/>
      <c r="AC98" s="231"/>
      <c r="AD98" s="232"/>
      <c r="AE98" s="212"/>
      <c r="AF98" s="230"/>
      <c r="AG98" s="231"/>
      <c r="AH98" s="231"/>
      <c r="AI98" s="231"/>
      <c r="AJ98" s="231"/>
      <c r="AK98" s="231"/>
      <c r="AL98" s="231"/>
      <c r="AM98" s="231"/>
      <c r="AN98" s="232"/>
      <c r="AO98" s="212"/>
      <c r="AP98" s="230"/>
      <c r="AQ98" s="231"/>
      <c r="AR98" s="231"/>
      <c r="AS98" s="231"/>
      <c r="AT98" s="231"/>
      <c r="AU98" s="231"/>
      <c r="AV98" s="231"/>
      <c r="AW98" s="231"/>
      <c r="AX98" s="232"/>
      <c r="AY98" s="212"/>
      <c r="AZ98" s="230"/>
      <c r="BA98" s="231"/>
      <c r="BB98" s="231"/>
      <c r="BC98" s="231"/>
      <c r="BD98" s="231"/>
      <c r="BE98" s="231"/>
      <c r="BF98" s="231"/>
      <c r="BG98" s="231"/>
      <c r="BH98" s="232"/>
      <c r="BI98" s="232"/>
      <c r="BJ98" s="230"/>
      <c r="BK98" s="231"/>
      <c r="BL98" s="231"/>
      <c r="BM98" s="231"/>
      <c r="BN98" s="231"/>
      <c r="BO98" s="231"/>
      <c r="BP98" s="231"/>
      <c r="BQ98" s="231"/>
      <c r="BR98" s="232"/>
    </row>
    <row r="99" spans="2:70" s="211" customFormat="1" ht="9" x14ac:dyDescent="0.25">
      <c r="B99" s="213"/>
      <c r="C99" s="212"/>
      <c r="D99" s="212"/>
      <c r="E99" s="212"/>
      <c r="F99" s="212"/>
      <c r="G99" s="212"/>
      <c r="H99" s="212"/>
      <c r="I99" s="212"/>
      <c r="J99" s="214"/>
      <c r="K99" s="212"/>
      <c r="L99" s="213"/>
      <c r="M99" s="212"/>
      <c r="N99" s="212"/>
      <c r="O99" s="212"/>
      <c r="P99" s="212"/>
      <c r="Q99" s="212"/>
      <c r="R99" s="212"/>
      <c r="S99" s="212"/>
      <c r="T99" s="214"/>
      <c r="U99" s="212"/>
      <c r="V99" s="213"/>
      <c r="W99" s="212"/>
      <c r="X99" s="212"/>
      <c r="Y99" s="212"/>
      <c r="Z99" s="212"/>
      <c r="AA99" s="212"/>
      <c r="AB99" s="212"/>
      <c r="AC99" s="212"/>
      <c r="AD99" s="214"/>
      <c r="AE99" s="212"/>
      <c r="AF99" s="213"/>
      <c r="AG99" s="212"/>
      <c r="AH99" s="212"/>
      <c r="AI99" s="212"/>
      <c r="AJ99" s="212"/>
      <c r="AK99" s="212"/>
      <c r="AL99" s="212"/>
      <c r="AM99" s="212"/>
      <c r="AN99" s="214"/>
      <c r="AO99" s="212"/>
      <c r="AP99" s="213"/>
      <c r="AQ99" s="212"/>
      <c r="AR99" s="212"/>
      <c r="AS99" s="212"/>
      <c r="AT99" s="212"/>
      <c r="AU99" s="212"/>
      <c r="AV99" s="212"/>
      <c r="AW99" s="212"/>
      <c r="AX99" s="214"/>
      <c r="AY99" s="212"/>
      <c r="AZ99" s="213"/>
      <c r="BA99" s="212"/>
      <c r="BB99" s="212"/>
      <c r="BC99" s="212"/>
      <c r="BD99" s="212"/>
      <c r="BE99" s="212"/>
      <c r="BF99" s="212"/>
      <c r="BG99" s="212"/>
      <c r="BH99" s="214"/>
      <c r="BI99" s="214"/>
      <c r="BJ99" s="213"/>
      <c r="BK99" s="212"/>
      <c r="BL99" s="212"/>
      <c r="BM99" s="212"/>
      <c r="BN99" s="212"/>
      <c r="BO99" s="212"/>
      <c r="BP99" s="212"/>
      <c r="BQ99" s="212"/>
      <c r="BR99" s="214"/>
    </row>
    <row r="100" spans="2:70" s="211" customFormat="1" ht="2.25" customHeight="1" x14ac:dyDescent="0.25">
      <c r="B100" s="223"/>
      <c r="C100" s="224"/>
      <c r="D100" s="224"/>
      <c r="E100" s="224"/>
      <c r="F100" s="224"/>
      <c r="G100" s="224"/>
      <c r="H100" s="224"/>
      <c r="I100" s="224"/>
      <c r="J100" s="225"/>
      <c r="K100" s="212"/>
      <c r="L100" s="223"/>
      <c r="M100" s="224"/>
      <c r="N100" s="224"/>
      <c r="O100" s="224"/>
      <c r="P100" s="224"/>
      <c r="Q100" s="224"/>
      <c r="R100" s="224"/>
      <c r="S100" s="224"/>
      <c r="T100" s="225"/>
      <c r="U100" s="212"/>
      <c r="V100" s="223"/>
      <c r="W100" s="224"/>
      <c r="X100" s="224"/>
      <c r="Y100" s="224"/>
      <c r="Z100" s="224"/>
      <c r="AA100" s="224"/>
      <c r="AB100" s="224"/>
      <c r="AC100" s="224"/>
      <c r="AD100" s="225"/>
      <c r="AE100" s="212"/>
      <c r="AF100" s="223"/>
      <c r="AG100" s="224"/>
      <c r="AH100" s="224"/>
      <c r="AI100" s="224"/>
      <c r="AJ100" s="224"/>
      <c r="AK100" s="224"/>
      <c r="AL100" s="224"/>
      <c r="AM100" s="224"/>
      <c r="AN100" s="225"/>
      <c r="AO100" s="212"/>
      <c r="AP100" s="223"/>
      <c r="AQ100" s="224"/>
      <c r="AR100" s="224"/>
      <c r="AS100" s="224"/>
      <c r="AT100" s="224"/>
      <c r="AU100" s="224"/>
      <c r="AV100" s="224"/>
      <c r="AW100" s="224"/>
      <c r="AX100" s="225"/>
      <c r="AY100" s="212"/>
      <c r="AZ100" s="223"/>
      <c r="BA100" s="224"/>
      <c r="BB100" s="224"/>
      <c r="BC100" s="224"/>
      <c r="BD100" s="224"/>
      <c r="BE100" s="224"/>
      <c r="BF100" s="224"/>
      <c r="BG100" s="224"/>
      <c r="BH100" s="225"/>
      <c r="BI100" s="214"/>
      <c r="BJ100" s="223"/>
      <c r="BK100" s="224"/>
      <c r="BL100" s="224"/>
      <c r="BM100" s="224"/>
      <c r="BN100" s="224"/>
      <c r="BO100" s="224"/>
      <c r="BP100" s="224"/>
      <c r="BQ100" s="224"/>
      <c r="BR100" s="225"/>
    </row>
    <row r="101" spans="2:70" s="211" customFormat="1" ht="9" x14ac:dyDescent="0.25">
      <c r="B101" s="543" t="s">
        <v>664</v>
      </c>
      <c r="C101" s="543"/>
      <c r="D101" s="543"/>
      <c r="E101" s="543"/>
      <c r="F101" s="543"/>
      <c r="G101" s="542">
        <f>CEILING(2469*B3,1)</f>
        <v>4692</v>
      </c>
      <c r="H101" s="542"/>
      <c r="I101" s="542"/>
      <c r="J101" s="542"/>
      <c r="K101" s="200"/>
      <c r="L101" s="543" t="s">
        <v>665</v>
      </c>
      <c r="M101" s="543"/>
      <c r="N101" s="543"/>
      <c r="O101" s="543"/>
      <c r="P101" s="543"/>
      <c r="Q101" s="542">
        <f>CEILING(3607*B3,1)</f>
        <v>6854</v>
      </c>
      <c r="R101" s="542"/>
      <c r="S101" s="542"/>
      <c r="T101" s="542"/>
      <c r="U101" s="200"/>
      <c r="V101" s="543" t="s">
        <v>666</v>
      </c>
      <c r="W101" s="543"/>
      <c r="X101" s="543"/>
      <c r="Y101" s="543"/>
      <c r="Z101" s="543"/>
      <c r="AA101" s="542">
        <f>CEILING(4878*B3,1)</f>
        <v>9269</v>
      </c>
      <c r="AB101" s="542"/>
      <c r="AC101" s="542"/>
      <c r="AD101" s="542"/>
      <c r="AE101" s="200"/>
      <c r="AF101" s="543" t="s">
        <v>667</v>
      </c>
      <c r="AG101" s="543"/>
      <c r="AH101" s="543"/>
      <c r="AI101" s="543"/>
      <c r="AJ101" s="543"/>
      <c r="AK101" s="542">
        <f>CEILING(2850*B3,1)</f>
        <v>5415</v>
      </c>
      <c r="AL101" s="542"/>
      <c r="AM101" s="542"/>
      <c r="AN101" s="542"/>
      <c r="AO101" s="200"/>
      <c r="AP101" s="543" t="s">
        <v>668</v>
      </c>
      <c r="AQ101" s="543"/>
      <c r="AR101" s="543"/>
      <c r="AS101" s="543"/>
      <c r="AT101" s="543"/>
      <c r="AU101" s="542">
        <f>CEILING(3540*B3,1)</f>
        <v>6726</v>
      </c>
      <c r="AV101" s="542"/>
      <c r="AW101" s="542"/>
      <c r="AX101" s="542"/>
      <c r="AY101" s="200"/>
      <c r="AZ101" s="543" t="s">
        <v>668</v>
      </c>
      <c r="BA101" s="543"/>
      <c r="BB101" s="543"/>
      <c r="BC101" s="543"/>
      <c r="BD101" s="543"/>
      <c r="BE101" s="542">
        <f>CEILING(3783*B3,1)</f>
        <v>7188</v>
      </c>
      <c r="BF101" s="542"/>
      <c r="BG101" s="542"/>
      <c r="BH101" s="542"/>
      <c r="BI101" s="200"/>
      <c r="BJ101" s="543" t="s">
        <v>668</v>
      </c>
      <c r="BK101" s="543"/>
      <c r="BL101" s="543"/>
      <c r="BM101" s="543"/>
      <c r="BN101" s="543"/>
      <c r="BO101" s="542">
        <f>CEILING(4420*B3,1)</f>
        <v>8398</v>
      </c>
      <c r="BP101" s="542"/>
      <c r="BQ101" s="542"/>
      <c r="BR101" s="542"/>
    </row>
    <row r="102" spans="2:70" s="192" customFormat="1" x14ac:dyDescent="0.25"/>
    <row r="103" spans="2:70" s="192" customFormat="1" x14ac:dyDescent="0.25"/>
  </sheetData>
  <mergeCells count="257">
    <mergeCell ref="V5:X5"/>
    <mergeCell ref="Y5:AD5"/>
    <mergeCell ref="BE17:BH17"/>
    <mergeCell ref="BJ17:BN17"/>
    <mergeCell ref="BO17:BR17"/>
    <mergeCell ref="B3:J3"/>
    <mergeCell ref="L3:BR3"/>
    <mergeCell ref="BJ5:BL5"/>
    <mergeCell ref="BM5:BR5"/>
    <mergeCell ref="B6:J6"/>
    <mergeCell ref="L6:T6"/>
    <mergeCell ref="V6:AD6"/>
    <mergeCell ref="AF6:AN6"/>
    <mergeCell ref="AP6:AX6"/>
    <mergeCell ref="AZ6:BH6"/>
    <mergeCell ref="BJ6:BR6"/>
    <mergeCell ref="AF5:AH5"/>
    <mergeCell ref="AI5:AN5"/>
    <mergeCell ref="AP5:AR5"/>
    <mergeCell ref="AS5:AX5"/>
    <mergeCell ref="AZ5:BB5"/>
    <mergeCell ref="BC5:BH5"/>
    <mergeCell ref="B5:D5"/>
    <mergeCell ref="E5:J5"/>
    <mergeCell ref="L5:N5"/>
    <mergeCell ref="O5:T5"/>
    <mergeCell ref="B21:J21"/>
    <mergeCell ref="B31:F31"/>
    <mergeCell ref="G31:J31"/>
    <mergeCell ref="L31:P31"/>
    <mergeCell ref="Q31:T31"/>
    <mergeCell ref="V31:Z31"/>
    <mergeCell ref="BJ7:BR7"/>
    <mergeCell ref="B17:F17"/>
    <mergeCell ref="G17:J17"/>
    <mergeCell ref="L17:P17"/>
    <mergeCell ref="Q17:T17"/>
    <mergeCell ref="V17:Z17"/>
    <mergeCell ref="AA17:AD17"/>
    <mergeCell ref="AF17:AJ17"/>
    <mergeCell ref="AK17:AN17"/>
    <mergeCell ref="AP17:AT17"/>
    <mergeCell ref="B7:J7"/>
    <mergeCell ref="L7:T7"/>
    <mergeCell ref="V7:AD7"/>
    <mergeCell ref="AF7:AN7"/>
    <mergeCell ref="AP7:AX7"/>
    <mergeCell ref="AZ7:BH7"/>
    <mergeCell ref="AU17:AX17"/>
    <mergeCell ref="AZ17:BD17"/>
    <mergeCell ref="BC19:BH19"/>
    <mergeCell ref="BJ19:BL19"/>
    <mergeCell ref="BM19:BR19"/>
    <mergeCell ref="B20:J20"/>
    <mergeCell ref="L20:T20"/>
    <mergeCell ref="AF20:AN20"/>
    <mergeCell ref="AP20:AX20"/>
    <mergeCell ref="BJ20:BR20"/>
    <mergeCell ref="Y19:AD19"/>
    <mergeCell ref="AF19:AH19"/>
    <mergeCell ref="AI19:AN19"/>
    <mergeCell ref="AP19:AR19"/>
    <mergeCell ref="AS19:AX19"/>
    <mergeCell ref="AZ19:BB19"/>
    <mergeCell ref="B19:D19"/>
    <mergeCell ref="E19:J19"/>
    <mergeCell ref="L19:N19"/>
    <mergeCell ref="O19:T19"/>
    <mergeCell ref="V19:X19"/>
    <mergeCell ref="BE31:BH31"/>
    <mergeCell ref="BJ31:BN31"/>
    <mergeCell ref="BO31:BR31"/>
    <mergeCell ref="B33:D33"/>
    <mergeCell ref="E33:J33"/>
    <mergeCell ref="L33:N33"/>
    <mergeCell ref="O33:T33"/>
    <mergeCell ref="V33:X33"/>
    <mergeCell ref="Y33:AD33"/>
    <mergeCell ref="AF33:AH33"/>
    <mergeCell ref="AA31:AD31"/>
    <mergeCell ref="AF31:AJ31"/>
    <mergeCell ref="AK31:AN31"/>
    <mergeCell ref="AP31:AT31"/>
    <mergeCell ref="AU31:AX31"/>
    <mergeCell ref="AZ31:BD31"/>
    <mergeCell ref="BM33:BR33"/>
    <mergeCell ref="B34:J34"/>
    <mergeCell ref="V34:AD34"/>
    <mergeCell ref="AF34:AN34"/>
    <mergeCell ref="AP34:AX34"/>
    <mergeCell ref="AZ34:BH34"/>
    <mergeCell ref="BJ34:BR34"/>
    <mergeCell ref="AI33:AN33"/>
    <mergeCell ref="AP33:AR33"/>
    <mergeCell ref="AS33:AX33"/>
    <mergeCell ref="AZ33:BB33"/>
    <mergeCell ref="BC33:BH33"/>
    <mergeCell ref="BJ33:BL33"/>
    <mergeCell ref="AA45:AD45"/>
    <mergeCell ref="AF45:AJ45"/>
    <mergeCell ref="AF35:AN35"/>
    <mergeCell ref="AP35:AX35"/>
    <mergeCell ref="AZ35:BH35"/>
    <mergeCell ref="BJ35:BR35"/>
    <mergeCell ref="BJ44:BR44"/>
    <mergeCell ref="B45:F45"/>
    <mergeCell ref="G45:J45"/>
    <mergeCell ref="L45:P45"/>
    <mergeCell ref="Q45:T45"/>
    <mergeCell ref="V45:Z45"/>
    <mergeCell ref="BE45:BH45"/>
    <mergeCell ref="BJ45:BN45"/>
    <mergeCell ref="BO45:BR45"/>
    <mergeCell ref="AK45:AN45"/>
    <mergeCell ref="AP45:AT45"/>
    <mergeCell ref="AU45:AX45"/>
    <mergeCell ref="AZ45:BD45"/>
    <mergeCell ref="BM47:BR47"/>
    <mergeCell ref="AP48:AX48"/>
    <mergeCell ref="AZ48:BH48"/>
    <mergeCell ref="BJ48:BR48"/>
    <mergeCell ref="B59:F59"/>
    <mergeCell ref="G59:J59"/>
    <mergeCell ref="L59:P59"/>
    <mergeCell ref="Q59:T59"/>
    <mergeCell ref="V59:Z59"/>
    <mergeCell ref="AA59:AD59"/>
    <mergeCell ref="AI47:AN47"/>
    <mergeCell ref="AP47:AR47"/>
    <mergeCell ref="AS47:AX47"/>
    <mergeCell ref="AZ47:BB47"/>
    <mergeCell ref="BC47:BH47"/>
    <mergeCell ref="BJ47:BL47"/>
    <mergeCell ref="B47:D47"/>
    <mergeCell ref="E47:J47"/>
    <mergeCell ref="L47:N47"/>
    <mergeCell ref="O47:T47"/>
    <mergeCell ref="V47:X47"/>
    <mergeCell ref="Y47:AD47"/>
    <mergeCell ref="AF47:AH47"/>
    <mergeCell ref="BJ59:BN59"/>
    <mergeCell ref="BO59:BR59"/>
    <mergeCell ref="B61:D61"/>
    <mergeCell ref="E61:J61"/>
    <mergeCell ref="L61:N61"/>
    <mergeCell ref="O61:T61"/>
    <mergeCell ref="V61:X61"/>
    <mergeCell ref="Y61:AD61"/>
    <mergeCell ref="AF61:AH61"/>
    <mergeCell ref="AI61:AN61"/>
    <mergeCell ref="AF59:AJ59"/>
    <mergeCell ref="AK59:AN59"/>
    <mergeCell ref="AP59:AT59"/>
    <mergeCell ref="AU59:AX59"/>
    <mergeCell ref="AZ59:BD59"/>
    <mergeCell ref="BE59:BH59"/>
    <mergeCell ref="BO73:BR73"/>
    <mergeCell ref="AP73:AT73"/>
    <mergeCell ref="AU73:AX73"/>
    <mergeCell ref="AZ73:BD73"/>
    <mergeCell ref="BE73:BH73"/>
    <mergeCell ref="AP61:AR61"/>
    <mergeCell ref="AS61:AX61"/>
    <mergeCell ref="AZ61:BB61"/>
    <mergeCell ref="BC61:BH61"/>
    <mergeCell ref="BJ61:BL61"/>
    <mergeCell ref="BM61:BR61"/>
    <mergeCell ref="O75:T75"/>
    <mergeCell ref="V75:X75"/>
    <mergeCell ref="Y75:AD75"/>
    <mergeCell ref="AF75:AH75"/>
    <mergeCell ref="AI75:AN75"/>
    <mergeCell ref="AF73:AJ73"/>
    <mergeCell ref="AK73:AN73"/>
    <mergeCell ref="BJ62:BR62"/>
    <mergeCell ref="B72:J72"/>
    <mergeCell ref="L72:T72"/>
    <mergeCell ref="V72:AD72"/>
    <mergeCell ref="B73:F73"/>
    <mergeCell ref="G73:J73"/>
    <mergeCell ref="L73:P73"/>
    <mergeCell ref="Q73:T73"/>
    <mergeCell ref="V73:Z73"/>
    <mergeCell ref="AA73:AD73"/>
    <mergeCell ref="B62:J62"/>
    <mergeCell ref="L62:T62"/>
    <mergeCell ref="V62:AD62"/>
    <mergeCell ref="AF62:AN62"/>
    <mergeCell ref="AP62:AX62"/>
    <mergeCell ref="AZ62:BH62"/>
    <mergeCell ref="BJ73:BN73"/>
    <mergeCell ref="BT75:BV75"/>
    <mergeCell ref="BW75:CB75"/>
    <mergeCell ref="AZ76:BH76"/>
    <mergeCell ref="BJ76:BR76"/>
    <mergeCell ref="B87:F87"/>
    <mergeCell ref="G87:J87"/>
    <mergeCell ref="L87:P87"/>
    <mergeCell ref="Q87:T87"/>
    <mergeCell ref="V87:Z87"/>
    <mergeCell ref="AA87:AD87"/>
    <mergeCell ref="AP75:AR75"/>
    <mergeCell ref="AS75:AX75"/>
    <mergeCell ref="AZ75:BB75"/>
    <mergeCell ref="BC75:BH75"/>
    <mergeCell ref="BJ75:BL75"/>
    <mergeCell ref="BM75:BR75"/>
    <mergeCell ref="BT87:BX87"/>
    <mergeCell ref="BY87:CB87"/>
    <mergeCell ref="AU87:AX87"/>
    <mergeCell ref="AZ87:BD87"/>
    <mergeCell ref="BE87:BH87"/>
    <mergeCell ref="B75:D75"/>
    <mergeCell ref="E75:J75"/>
    <mergeCell ref="L75:N75"/>
    <mergeCell ref="B89:D89"/>
    <mergeCell ref="E89:J89"/>
    <mergeCell ref="L89:N89"/>
    <mergeCell ref="O89:T89"/>
    <mergeCell ref="V89:X89"/>
    <mergeCell ref="Y89:AD89"/>
    <mergeCell ref="AF87:AJ87"/>
    <mergeCell ref="AK87:AN87"/>
    <mergeCell ref="AP87:AT87"/>
    <mergeCell ref="BJ90:BR90"/>
    <mergeCell ref="AF89:AH89"/>
    <mergeCell ref="AI89:AN89"/>
    <mergeCell ref="AP89:AR89"/>
    <mergeCell ref="AS89:AX89"/>
    <mergeCell ref="AZ89:BB89"/>
    <mergeCell ref="BC89:BH89"/>
    <mergeCell ref="BJ87:BN87"/>
    <mergeCell ref="BO87:BR87"/>
    <mergeCell ref="BJ101:BN101"/>
    <mergeCell ref="BO101:BR101"/>
    <mergeCell ref="BJ1:BS1"/>
    <mergeCell ref="B2:BR2"/>
    <mergeCell ref="AF101:AJ101"/>
    <mergeCell ref="AK101:AN101"/>
    <mergeCell ref="AP101:AT101"/>
    <mergeCell ref="AU101:AX101"/>
    <mergeCell ref="AZ101:BD101"/>
    <mergeCell ref="BE101:BH101"/>
    <mergeCell ref="B101:F101"/>
    <mergeCell ref="G101:J101"/>
    <mergeCell ref="L101:P101"/>
    <mergeCell ref="Q101:T101"/>
    <mergeCell ref="V101:Z101"/>
    <mergeCell ref="AA101:AD101"/>
    <mergeCell ref="BJ89:BL89"/>
    <mergeCell ref="BM89:BR89"/>
    <mergeCell ref="B90:J90"/>
    <mergeCell ref="L90:T90"/>
    <mergeCell ref="V90:AD90"/>
    <mergeCell ref="AF90:AN90"/>
    <mergeCell ref="AP90:AX90"/>
    <mergeCell ref="AZ90:BH90"/>
  </mergeCells>
  <hyperlinks>
    <hyperlink ref="BJ1" location="ОГЛАВЛЕНИЕ!R1C1" display="ОГЛАВЛЕНИЕ!R1C1" xr:uid="{704488E3-FF0C-476E-9816-6D10364E97D4}"/>
  </hyperlinks>
  <printOptions horizontalCentered="1" verticalCentered="1"/>
  <pageMargins left="0.23622047244094491" right="0.23622047244094491" top="0.23622047244094491" bottom="0.23622047244094491" header="0.23622047244094491" footer="0.23622047244094491"/>
  <pageSetup paperSize="9" scale="83" fitToHeight="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2DB7-D8B8-4DBC-B90A-59FCAB4AF2FC}">
  <sheetPr>
    <tabColor theme="5" tint="0.59999389629810485"/>
  </sheetPr>
  <dimension ref="A1:N46"/>
  <sheetViews>
    <sheetView workbookViewId="0">
      <selection activeCell="E1" sqref="E1"/>
    </sheetView>
  </sheetViews>
  <sheetFormatPr defaultColWidth="8.7109375" defaultRowHeight="14.25" x14ac:dyDescent="0.25"/>
  <cols>
    <col min="1" max="1" width="5.7109375" style="252" customWidth="1"/>
    <col min="2" max="2" width="37.7109375" style="252" customWidth="1"/>
    <col min="3" max="3" width="23.42578125" style="252" customWidth="1"/>
    <col min="4" max="5" width="25.7109375" style="252" customWidth="1"/>
    <col min="6" max="16384" width="8.7109375" style="252"/>
  </cols>
  <sheetData>
    <row r="1" spans="1:14" ht="90.95" customHeight="1" x14ac:dyDescent="0.25">
      <c r="A1" s="447"/>
      <c r="B1" s="447"/>
      <c r="C1" s="447"/>
      <c r="D1" s="447"/>
      <c r="E1" s="253" t="s">
        <v>0</v>
      </c>
      <c r="F1" s="254"/>
      <c r="G1" s="254"/>
      <c r="H1" s="254"/>
      <c r="I1" s="254"/>
      <c r="J1" s="254"/>
      <c r="K1" s="254"/>
      <c r="L1" s="254"/>
      <c r="M1" s="254"/>
      <c r="N1" s="254"/>
    </row>
    <row r="2" spans="1:14" ht="32.25" customHeight="1" x14ac:dyDescent="0.25">
      <c r="A2" s="579" t="s">
        <v>731</v>
      </c>
      <c r="B2" s="446"/>
      <c r="C2" s="446"/>
      <c r="D2" s="446"/>
      <c r="E2" s="446"/>
    </row>
    <row r="3" spans="1:14" ht="20.25" x14ac:dyDescent="0.25">
      <c r="A3" s="250"/>
      <c r="B3" s="577" t="s">
        <v>701</v>
      </c>
      <c r="C3" s="577"/>
      <c r="D3" s="577"/>
      <c r="E3" s="578"/>
    </row>
    <row r="4" spans="1:14" ht="28.5" x14ac:dyDescent="0.25">
      <c r="A4" s="255" t="s">
        <v>671</v>
      </c>
      <c r="B4" s="256" t="s">
        <v>672</v>
      </c>
      <c r="C4" s="256" t="s">
        <v>673</v>
      </c>
      <c r="D4" s="256" t="s">
        <v>674</v>
      </c>
      <c r="E4" s="255" t="s">
        <v>675</v>
      </c>
    </row>
    <row r="5" spans="1:14" ht="28.5" x14ac:dyDescent="0.25">
      <c r="A5" s="257">
        <v>1</v>
      </c>
      <c r="B5" s="251" t="s">
        <v>676</v>
      </c>
      <c r="C5" s="258" t="s">
        <v>677</v>
      </c>
      <c r="D5" s="574"/>
      <c r="E5" s="259">
        <v>2640</v>
      </c>
    </row>
    <row r="6" spans="1:14" ht="28.5" x14ac:dyDescent="0.25">
      <c r="A6" s="257">
        <v>2</v>
      </c>
      <c r="B6" s="251" t="s">
        <v>676</v>
      </c>
      <c r="C6" s="258" t="s">
        <v>678</v>
      </c>
      <c r="D6" s="575"/>
      <c r="E6" s="259">
        <v>4118</v>
      </c>
    </row>
    <row r="7" spans="1:14" ht="28.5" x14ac:dyDescent="0.25">
      <c r="A7" s="257">
        <v>3</v>
      </c>
      <c r="B7" s="251" t="s">
        <v>676</v>
      </c>
      <c r="C7" s="258" t="s">
        <v>679</v>
      </c>
      <c r="D7" s="575"/>
      <c r="E7" s="259">
        <v>5280</v>
      </c>
    </row>
    <row r="8" spans="1:14" ht="28.5" x14ac:dyDescent="0.25">
      <c r="A8" s="257">
        <v>4</v>
      </c>
      <c r="B8" s="251" t="s">
        <v>676</v>
      </c>
      <c r="C8" s="258" t="s">
        <v>680</v>
      </c>
      <c r="D8" s="575"/>
      <c r="E8" s="259">
        <v>7392.0000000000009</v>
      </c>
    </row>
    <row r="9" spans="1:14" ht="28.5" x14ac:dyDescent="0.25">
      <c r="A9" s="257">
        <v>5</v>
      </c>
      <c r="B9" s="251" t="s">
        <v>676</v>
      </c>
      <c r="C9" s="258" t="s">
        <v>146</v>
      </c>
      <c r="D9" s="575"/>
      <c r="E9" s="259">
        <v>8448</v>
      </c>
    </row>
    <row r="10" spans="1:14" ht="28.5" x14ac:dyDescent="0.25">
      <c r="A10" s="257">
        <v>6</v>
      </c>
      <c r="B10" s="251" t="s">
        <v>676</v>
      </c>
      <c r="C10" s="258" t="s">
        <v>681</v>
      </c>
      <c r="D10" s="575"/>
      <c r="E10" s="259">
        <v>9504</v>
      </c>
    </row>
    <row r="11" spans="1:14" ht="28.5" x14ac:dyDescent="0.25">
      <c r="A11" s="257">
        <v>7</v>
      </c>
      <c r="B11" s="251" t="s">
        <v>676</v>
      </c>
      <c r="C11" s="258" t="s">
        <v>682</v>
      </c>
      <c r="D11" s="575"/>
      <c r="E11" s="259">
        <v>9504</v>
      </c>
    </row>
    <row r="12" spans="1:14" ht="28.5" x14ac:dyDescent="0.25">
      <c r="A12" s="257">
        <v>8</v>
      </c>
      <c r="B12" s="251" t="s">
        <v>676</v>
      </c>
      <c r="C12" s="258" t="s">
        <v>683</v>
      </c>
      <c r="D12" s="575"/>
      <c r="E12" s="259">
        <v>11193</v>
      </c>
    </row>
    <row r="13" spans="1:14" ht="28.5" x14ac:dyDescent="0.25">
      <c r="A13" s="257">
        <v>9</v>
      </c>
      <c r="B13" s="251" t="s">
        <v>676</v>
      </c>
      <c r="C13" s="258" t="s">
        <v>684</v>
      </c>
      <c r="D13" s="575"/>
      <c r="E13" s="259">
        <v>10560</v>
      </c>
    </row>
    <row r="14" spans="1:14" ht="28.5" x14ac:dyDescent="0.25">
      <c r="A14" s="257">
        <v>10</v>
      </c>
      <c r="B14" s="251" t="s">
        <v>676</v>
      </c>
      <c r="C14" s="258" t="s">
        <v>685</v>
      </c>
      <c r="D14" s="576"/>
      <c r="E14" s="259">
        <v>11827</v>
      </c>
    </row>
    <row r="15" spans="1:14" ht="28.5" x14ac:dyDescent="0.25">
      <c r="A15" s="257">
        <v>11</v>
      </c>
      <c r="B15" s="251" t="s">
        <v>686</v>
      </c>
      <c r="C15" s="258" t="s">
        <v>677</v>
      </c>
      <c r="D15" s="574"/>
      <c r="E15" s="259">
        <v>2640</v>
      </c>
    </row>
    <row r="16" spans="1:14" ht="28.5" x14ac:dyDescent="0.25">
      <c r="A16" s="257">
        <v>12</v>
      </c>
      <c r="B16" s="251" t="s">
        <v>686</v>
      </c>
      <c r="C16" s="258" t="s">
        <v>678</v>
      </c>
      <c r="D16" s="575"/>
      <c r="E16" s="259">
        <v>4118</v>
      </c>
    </row>
    <row r="17" spans="1:5" ht="28.5" x14ac:dyDescent="0.25">
      <c r="A17" s="257">
        <v>13</v>
      </c>
      <c r="B17" s="251" t="s">
        <v>686</v>
      </c>
      <c r="C17" s="258" t="s">
        <v>679</v>
      </c>
      <c r="D17" s="575"/>
      <c r="E17" s="259">
        <v>5280</v>
      </c>
    </row>
    <row r="18" spans="1:5" ht="28.5" x14ac:dyDescent="0.25">
      <c r="A18" s="257">
        <v>14</v>
      </c>
      <c r="B18" s="251" t="s">
        <v>686</v>
      </c>
      <c r="C18" s="258" t="s">
        <v>680</v>
      </c>
      <c r="D18" s="575"/>
      <c r="E18" s="259">
        <v>7392.0000000000009</v>
      </c>
    </row>
    <row r="19" spans="1:5" ht="28.5" x14ac:dyDescent="0.25">
      <c r="A19" s="257">
        <v>15</v>
      </c>
      <c r="B19" s="251" t="s">
        <v>686</v>
      </c>
      <c r="C19" s="258" t="s">
        <v>146</v>
      </c>
      <c r="D19" s="575"/>
      <c r="E19" s="259">
        <v>8448</v>
      </c>
    </row>
    <row r="20" spans="1:5" ht="28.5" x14ac:dyDescent="0.25">
      <c r="A20" s="257">
        <v>16</v>
      </c>
      <c r="B20" s="251" t="s">
        <v>686</v>
      </c>
      <c r="C20" s="258" t="s">
        <v>681</v>
      </c>
      <c r="D20" s="575"/>
      <c r="E20" s="259">
        <v>9504</v>
      </c>
    </row>
    <row r="21" spans="1:5" ht="28.5" x14ac:dyDescent="0.25">
      <c r="A21" s="257">
        <v>17</v>
      </c>
      <c r="B21" s="251" t="s">
        <v>686</v>
      </c>
      <c r="C21" s="258" t="s">
        <v>682</v>
      </c>
      <c r="D21" s="575"/>
      <c r="E21" s="259">
        <v>9504</v>
      </c>
    </row>
    <row r="22" spans="1:5" ht="28.5" x14ac:dyDescent="0.25">
      <c r="A22" s="257">
        <v>18</v>
      </c>
      <c r="B22" s="251" t="s">
        <v>686</v>
      </c>
      <c r="C22" s="258" t="s">
        <v>683</v>
      </c>
      <c r="D22" s="575"/>
      <c r="E22" s="259">
        <v>11176</v>
      </c>
    </row>
    <row r="23" spans="1:5" ht="28.5" x14ac:dyDescent="0.25">
      <c r="A23" s="257">
        <v>19</v>
      </c>
      <c r="B23" s="251" t="s">
        <v>686</v>
      </c>
      <c r="C23" s="258" t="s">
        <v>684</v>
      </c>
      <c r="D23" s="575"/>
      <c r="E23" s="259">
        <v>10560</v>
      </c>
    </row>
    <row r="24" spans="1:5" ht="28.5" x14ac:dyDescent="0.25">
      <c r="A24" s="257">
        <v>20</v>
      </c>
      <c r="B24" s="251" t="s">
        <v>686</v>
      </c>
      <c r="C24" s="258" t="s">
        <v>685</v>
      </c>
      <c r="D24" s="576"/>
      <c r="E24" s="259">
        <v>11827</v>
      </c>
    </row>
    <row r="25" spans="1:5" ht="28.5" x14ac:dyDescent="0.25">
      <c r="A25" s="257">
        <v>21</v>
      </c>
      <c r="B25" s="251" t="s">
        <v>687</v>
      </c>
      <c r="C25" s="258" t="s">
        <v>688</v>
      </c>
      <c r="D25" s="574"/>
      <c r="E25" s="259">
        <v>12672.000000000002</v>
      </c>
    </row>
    <row r="26" spans="1:5" ht="28.5" x14ac:dyDescent="0.25">
      <c r="A26" s="257">
        <v>22</v>
      </c>
      <c r="B26" s="251" t="s">
        <v>689</v>
      </c>
      <c r="C26" s="258" t="s">
        <v>690</v>
      </c>
      <c r="D26" s="576"/>
      <c r="E26" s="259">
        <v>14150</v>
      </c>
    </row>
    <row r="27" spans="1:5" ht="28.5" x14ac:dyDescent="0.25">
      <c r="A27" s="257">
        <v>23</v>
      </c>
      <c r="B27" s="251" t="s">
        <v>691</v>
      </c>
      <c r="C27" s="258" t="s">
        <v>688</v>
      </c>
      <c r="D27" s="574"/>
      <c r="E27" s="259">
        <v>12672.000000000002</v>
      </c>
    </row>
    <row r="28" spans="1:5" ht="28.5" x14ac:dyDescent="0.25">
      <c r="A28" s="257">
        <v>24</v>
      </c>
      <c r="B28" s="251" t="s">
        <v>691</v>
      </c>
      <c r="C28" s="258" t="s">
        <v>690</v>
      </c>
      <c r="D28" s="576"/>
      <c r="E28" s="259">
        <v>14150</v>
      </c>
    </row>
    <row r="29" spans="1:5" ht="28.5" x14ac:dyDescent="0.25">
      <c r="A29" s="257">
        <v>25</v>
      </c>
      <c r="B29" s="251" t="s">
        <v>692</v>
      </c>
      <c r="C29" s="258" t="s">
        <v>693</v>
      </c>
      <c r="D29" s="574"/>
      <c r="E29" s="259">
        <v>12117</v>
      </c>
    </row>
    <row r="30" spans="1:5" ht="28.5" x14ac:dyDescent="0.25">
      <c r="A30" s="257">
        <v>26</v>
      </c>
      <c r="B30" s="251" t="s">
        <v>692</v>
      </c>
      <c r="C30" s="258" t="s">
        <v>694</v>
      </c>
      <c r="D30" s="575"/>
      <c r="E30" s="259">
        <v>13239</v>
      </c>
    </row>
    <row r="31" spans="1:5" ht="28.5" x14ac:dyDescent="0.25">
      <c r="A31" s="257">
        <v>27</v>
      </c>
      <c r="B31" s="251" t="s">
        <v>692</v>
      </c>
      <c r="C31" s="258" t="s">
        <v>695</v>
      </c>
      <c r="D31" s="575"/>
      <c r="E31" s="259">
        <v>15708.000000000002</v>
      </c>
    </row>
    <row r="32" spans="1:5" ht="28.5" x14ac:dyDescent="0.25">
      <c r="A32" s="257">
        <v>28</v>
      </c>
      <c r="B32" s="251" t="s">
        <v>692</v>
      </c>
      <c r="C32" s="258" t="s">
        <v>144</v>
      </c>
      <c r="D32" s="575"/>
      <c r="E32" s="259">
        <v>21879</v>
      </c>
    </row>
    <row r="33" spans="1:5" ht="28.5" x14ac:dyDescent="0.25">
      <c r="A33" s="257">
        <v>29</v>
      </c>
      <c r="B33" s="251" t="s">
        <v>692</v>
      </c>
      <c r="C33" s="258" t="s">
        <v>696</v>
      </c>
      <c r="D33" s="575"/>
      <c r="E33" s="259">
        <v>19971.600000000002</v>
      </c>
    </row>
    <row r="34" spans="1:5" ht="28.5" x14ac:dyDescent="0.25">
      <c r="A34" s="257">
        <v>30</v>
      </c>
      <c r="B34" s="251" t="s">
        <v>692</v>
      </c>
      <c r="C34" s="258" t="s">
        <v>697</v>
      </c>
      <c r="D34" s="575"/>
      <c r="E34" s="259">
        <v>20196</v>
      </c>
    </row>
    <row r="35" spans="1:5" ht="28.5" x14ac:dyDescent="0.25">
      <c r="A35" s="257">
        <v>31</v>
      </c>
      <c r="B35" s="251" t="s">
        <v>692</v>
      </c>
      <c r="C35" s="258" t="s">
        <v>145</v>
      </c>
      <c r="D35" s="575"/>
      <c r="E35" s="259">
        <v>21991</v>
      </c>
    </row>
    <row r="36" spans="1:5" ht="28.5" x14ac:dyDescent="0.25">
      <c r="A36" s="257">
        <v>32</v>
      </c>
      <c r="B36" s="251" t="s">
        <v>692</v>
      </c>
      <c r="C36" s="258" t="s">
        <v>698</v>
      </c>
      <c r="D36" s="575"/>
      <c r="E36" s="259">
        <v>25806.000000000004</v>
      </c>
    </row>
    <row r="37" spans="1:5" ht="28.5" x14ac:dyDescent="0.25">
      <c r="A37" s="257">
        <v>33</v>
      </c>
      <c r="B37" s="251" t="s">
        <v>692</v>
      </c>
      <c r="C37" s="258" t="s">
        <v>699</v>
      </c>
      <c r="D37" s="576"/>
      <c r="E37" s="259">
        <v>26928.000000000004</v>
      </c>
    </row>
    <row r="38" spans="1:5" ht="28.5" x14ac:dyDescent="0.25">
      <c r="A38" s="257">
        <v>34</v>
      </c>
      <c r="B38" s="251" t="s">
        <v>700</v>
      </c>
      <c r="C38" s="258" t="s">
        <v>693</v>
      </c>
      <c r="D38" s="574"/>
      <c r="E38" s="259">
        <v>11404</v>
      </c>
    </row>
    <row r="39" spans="1:5" ht="28.5" x14ac:dyDescent="0.25">
      <c r="A39" s="257">
        <v>35</v>
      </c>
      <c r="B39" s="251" t="s">
        <v>700</v>
      </c>
      <c r="C39" s="258" t="s">
        <v>694</v>
      </c>
      <c r="D39" s="575"/>
      <c r="E39" s="259">
        <v>12460</v>
      </c>
    </row>
    <row r="40" spans="1:5" ht="28.5" x14ac:dyDescent="0.25">
      <c r="A40" s="257">
        <v>36</v>
      </c>
      <c r="B40" s="251" t="s">
        <v>700</v>
      </c>
      <c r="C40" s="258" t="s">
        <v>695</v>
      </c>
      <c r="D40" s="575"/>
      <c r="E40" s="259">
        <v>14784.000000000002</v>
      </c>
    </row>
    <row r="41" spans="1:5" ht="28.5" x14ac:dyDescent="0.25">
      <c r="A41" s="257">
        <v>37</v>
      </c>
      <c r="B41" s="251" t="s">
        <v>700</v>
      </c>
      <c r="C41" s="258" t="s">
        <v>144</v>
      </c>
      <c r="D41" s="575"/>
      <c r="E41" s="259">
        <v>17318</v>
      </c>
    </row>
    <row r="42" spans="1:5" ht="28.5" x14ac:dyDescent="0.25">
      <c r="A42" s="257">
        <v>38</v>
      </c>
      <c r="B42" s="251" t="s">
        <v>700</v>
      </c>
      <c r="C42" s="258" t="s">
        <v>696</v>
      </c>
      <c r="D42" s="575"/>
      <c r="E42" s="259">
        <v>18796</v>
      </c>
    </row>
    <row r="43" spans="1:5" ht="28.5" x14ac:dyDescent="0.25">
      <c r="A43" s="257">
        <v>39</v>
      </c>
      <c r="B43" s="251" t="s">
        <v>700</v>
      </c>
      <c r="C43" s="258" t="s">
        <v>697</v>
      </c>
      <c r="D43" s="575"/>
      <c r="E43" s="259">
        <v>19008</v>
      </c>
    </row>
    <row r="44" spans="1:5" ht="28.5" x14ac:dyDescent="0.25">
      <c r="A44" s="257">
        <v>40</v>
      </c>
      <c r="B44" s="251" t="s">
        <v>700</v>
      </c>
      <c r="C44" s="258" t="s">
        <v>145</v>
      </c>
      <c r="D44" s="575"/>
      <c r="E44" s="259">
        <v>20697</v>
      </c>
    </row>
    <row r="45" spans="1:5" ht="28.5" x14ac:dyDescent="0.25">
      <c r="A45" s="257">
        <v>41</v>
      </c>
      <c r="B45" s="251" t="s">
        <v>700</v>
      </c>
      <c r="C45" s="258" t="s">
        <v>698</v>
      </c>
      <c r="D45" s="575"/>
      <c r="E45" s="259">
        <v>24288.000000000004</v>
      </c>
    </row>
    <row r="46" spans="1:5" ht="28.5" x14ac:dyDescent="0.25">
      <c r="A46" s="257">
        <v>42</v>
      </c>
      <c r="B46" s="251" t="s">
        <v>700</v>
      </c>
      <c r="C46" s="258" t="s">
        <v>699</v>
      </c>
      <c r="D46" s="576"/>
      <c r="E46" s="259">
        <v>25344.000000000004</v>
      </c>
    </row>
  </sheetData>
  <mergeCells count="9">
    <mergeCell ref="D29:D37"/>
    <mergeCell ref="D38:D46"/>
    <mergeCell ref="B3:E3"/>
    <mergeCell ref="A2:E2"/>
    <mergeCell ref="A1:D1"/>
    <mergeCell ref="D5:D14"/>
    <mergeCell ref="D15:D24"/>
    <mergeCell ref="D25:D26"/>
    <mergeCell ref="D27:D28"/>
  </mergeCells>
  <hyperlinks>
    <hyperlink ref="E1" location="ОГЛАВЛЕНИЕ!R1C1" display="ОГЛАВЛЕНИЕ!R1C1" xr:uid="{C8FAA0EA-E82A-483C-AA36-F81114F2E3C2}"/>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E8582-670E-49A6-8836-C188FA287C25}">
  <dimension ref="A1"/>
  <sheetViews>
    <sheetView workbookViewId="0">
      <selection activeCell="S5" sqref="S5"/>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B6949-0A55-4A31-A4E4-F0F39BE756F5}">
  <sheetPr>
    <tabColor theme="5" tint="0.59999389629810485"/>
    <pageSetUpPr fitToPage="1"/>
  </sheetPr>
  <dimension ref="A1:BO135"/>
  <sheetViews>
    <sheetView showGridLines="0" zoomScaleNormal="100" zoomScaleSheetLayoutView="100" workbookViewId="0">
      <selection activeCell="BE1" sqref="BE1:BN1"/>
    </sheetView>
  </sheetViews>
  <sheetFormatPr defaultColWidth="9.140625" defaultRowHeight="8.25" x14ac:dyDescent="0.25"/>
  <cols>
    <col min="1" max="1" width="0.28515625" style="15" customWidth="1"/>
    <col min="2" max="5" width="1.7109375" style="15" customWidth="1"/>
    <col min="6" max="6" width="2.28515625" style="15" customWidth="1"/>
    <col min="7" max="7" width="3.7109375" style="15" customWidth="1"/>
    <col min="8" max="10" width="1.7109375" style="15" customWidth="1"/>
    <col min="11" max="11" width="3.85546875" style="15" customWidth="1"/>
    <col min="12" max="12" width="0.28515625" style="15" customWidth="1"/>
    <col min="13" max="18" width="1.7109375" style="15" customWidth="1"/>
    <col min="19" max="19" width="4.7109375" style="15" customWidth="1"/>
    <col min="20" max="21" width="1.7109375" style="15" customWidth="1"/>
    <col min="22" max="22" width="4.7109375" style="15" customWidth="1"/>
    <col min="23" max="23" width="0.140625" style="15" customWidth="1"/>
    <col min="24" max="29" width="1.7109375" style="15" customWidth="1"/>
    <col min="30" max="30" width="3.85546875" style="15" customWidth="1"/>
    <col min="31" max="32" width="1.7109375" style="15" customWidth="1"/>
    <col min="33" max="33" width="4.42578125" style="15" customWidth="1"/>
    <col min="34" max="34" width="0.28515625" style="15" customWidth="1"/>
    <col min="35" max="40" width="1.7109375" style="15" customWidth="1"/>
    <col min="41" max="41" width="2.140625" style="15" customWidth="1"/>
    <col min="42" max="42" width="3.5703125" style="15" customWidth="1"/>
    <col min="43" max="43" width="1.7109375" style="15" customWidth="1"/>
    <col min="44" max="44" width="3.7109375" style="15" customWidth="1"/>
    <col min="45" max="45" width="0.28515625" style="15" customWidth="1"/>
    <col min="46" max="50" width="1.7109375" style="15" customWidth="1"/>
    <col min="51" max="51" width="2.28515625" style="15" customWidth="1"/>
    <col min="52" max="52" width="3.42578125" style="15" customWidth="1"/>
    <col min="53" max="54" width="1.7109375" style="15" customWidth="1"/>
    <col min="55" max="55" width="3.5703125" style="15" customWidth="1"/>
    <col min="56" max="56" width="0.28515625" style="15" customWidth="1"/>
    <col min="57" max="61" width="1.7109375" style="15" customWidth="1"/>
    <col min="62" max="62" width="2.28515625" style="15" customWidth="1"/>
    <col min="63" max="63" width="3.5703125" style="15" customWidth="1"/>
    <col min="64" max="65" width="1.7109375" style="15" customWidth="1"/>
    <col min="66" max="66" width="2.42578125" style="15" customWidth="1"/>
    <col min="67" max="67" width="0.28515625" style="15" customWidth="1"/>
    <col min="68" max="16384" width="9.140625" style="15"/>
  </cols>
  <sheetData>
    <row r="1" spans="1:66" ht="90.95" customHeight="1" x14ac:dyDescent="0.25">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E1" s="373" t="s">
        <v>0</v>
      </c>
      <c r="BF1" s="374"/>
      <c r="BG1" s="374"/>
      <c r="BH1" s="374"/>
      <c r="BI1" s="374"/>
      <c r="BJ1" s="374"/>
      <c r="BK1" s="374"/>
      <c r="BL1" s="374"/>
      <c r="BM1" s="374"/>
      <c r="BN1" s="375"/>
    </row>
    <row r="2" spans="1:66" ht="12.75" x14ac:dyDescent="0.25">
      <c r="A2" s="377" t="s">
        <v>728</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9"/>
    </row>
    <row r="3" spans="1:66" ht="18" customHeight="1" x14ac:dyDescent="0.25">
      <c r="B3" s="369">
        <v>1.9</v>
      </c>
      <c r="C3" s="370"/>
      <c r="D3" s="370"/>
      <c r="E3" s="370"/>
      <c r="F3" s="370"/>
      <c r="G3" s="370"/>
      <c r="H3" s="370"/>
      <c r="I3" s="370"/>
      <c r="J3" s="370"/>
      <c r="K3" s="370"/>
      <c r="L3" s="71"/>
      <c r="M3" s="371" t="s">
        <v>267</v>
      </c>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2"/>
    </row>
    <row r="4" spans="1:66" s="13" customFormat="1" ht="1.5" customHeight="1" x14ac:dyDescent="0.25">
      <c r="B4" s="10"/>
      <c r="C4" s="10"/>
      <c r="D4" s="10"/>
      <c r="E4" s="10"/>
      <c r="F4" s="10"/>
      <c r="G4" s="10"/>
      <c r="H4" s="10"/>
      <c r="I4" s="10"/>
      <c r="J4" s="10"/>
      <c r="K4" s="10"/>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row>
    <row r="5" spans="1:66" s="13" customFormat="1" ht="9" customHeight="1" x14ac:dyDescent="0.25">
      <c r="B5" s="382" t="s">
        <v>134</v>
      </c>
      <c r="C5" s="383"/>
      <c r="D5" s="383"/>
      <c r="E5" s="383"/>
      <c r="F5" s="383"/>
      <c r="G5" s="383"/>
      <c r="H5" s="383"/>
      <c r="I5" s="383"/>
      <c r="J5" s="383"/>
      <c r="K5" s="384"/>
      <c r="L5" s="34"/>
      <c r="M5" s="321" t="s">
        <v>127</v>
      </c>
      <c r="N5" s="322"/>
      <c r="O5" s="323"/>
      <c r="P5" s="327" t="s">
        <v>128</v>
      </c>
      <c r="Q5" s="328"/>
      <c r="R5" s="328"/>
      <c r="S5" s="328"/>
      <c r="T5" s="328"/>
      <c r="U5" s="328"/>
      <c r="V5" s="329"/>
      <c r="W5" s="1"/>
      <c r="X5" s="321" t="s">
        <v>129</v>
      </c>
      <c r="Y5" s="322"/>
      <c r="Z5" s="323"/>
      <c r="AA5" s="324" t="s">
        <v>766</v>
      </c>
      <c r="AB5" s="325"/>
      <c r="AC5" s="325"/>
      <c r="AD5" s="325"/>
      <c r="AE5" s="325"/>
      <c r="AF5" s="325"/>
      <c r="AG5" s="326"/>
      <c r="AH5" s="35"/>
      <c r="AI5" s="321" t="s">
        <v>130</v>
      </c>
      <c r="AJ5" s="322"/>
      <c r="AK5" s="323"/>
      <c r="AL5" s="324" t="s">
        <v>128</v>
      </c>
      <c r="AM5" s="325"/>
      <c r="AN5" s="325"/>
      <c r="AO5" s="325"/>
      <c r="AP5" s="325"/>
      <c r="AQ5" s="325"/>
      <c r="AR5" s="326"/>
      <c r="AS5" s="35"/>
      <c r="AT5" s="321" t="s">
        <v>131</v>
      </c>
      <c r="AU5" s="322"/>
      <c r="AV5" s="323"/>
      <c r="AW5" s="324" t="s">
        <v>128</v>
      </c>
      <c r="AX5" s="325"/>
      <c r="AY5" s="325"/>
      <c r="AZ5" s="325"/>
      <c r="BA5" s="325"/>
      <c r="BB5" s="325"/>
      <c r="BC5" s="326"/>
      <c r="BD5" s="35"/>
      <c r="BE5" s="321" t="s">
        <v>132</v>
      </c>
      <c r="BF5" s="322"/>
      <c r="BG5" s="323"/>
      <c r="BH5" s="324" t="s">
        <v>133</v>
      </c>
      <c r="BI5" s="325"/>
      <c r="BJ5" s="325"/>
      <c r="BK5" s="325"/>
      <c r="BL5" s="325"/>
      <c r="BM5" s="325"/>
      <c r="BN5" s="326"/>
    </row>
    <row r="6" spans="1:66" s="13" customFormat="1" ht="9" customHeight="1" x14ac:dyDescent="0.25">
      <c r="B6" s="385"/>
      <c r="C6" s="386"/>
      <c r="D6" s="386"/>
      <c r="E6" s="386"/>
      <c r="F6" s="386"/>
      <c r="G6" s="386"/>
      <c r="H6" s="386"/>
      <c r="I6" s="386"/>
      <c r="J6" s="386"/>
      <c r="K6" s="387"/>
      <c r="L6" s="34"/>
      <c r="M6" s="380"/>
      <c r="N6" s="344"/>
      <c r="O6" s="344"/>
      <c r="P6" s="344"/>
      <c r="Q6" s="344"/>
      <c r="R6" s="344"/>
      <c r="S6" s="344"/>
      <c r="T6" s="344"/>
      <c r="U6" s="344"/>
      <c r="V6" s="381"/>
      <c r="W6" s="1"/>
      <c r="X6" s="312" t="s">
        <v>135</v>
      </c>
      <c r="Y6" s="313"/>
      <c r="Z6" s="313"/>
      <c r="AA6" s="313"/>
      <c r="AB6" s="313"/>
      <c r="AC6" s="313"/>
      <c r="AD6" s="313"/>
      <c r="AE6" s="313"/>
      <c r="AF6" s="313"/>
      <c r="AG6" s="314"/>
      <c r="AH6" s="35"/>
      <c r="AI6" s="312" t="s">
        <v>135</v>
      </c>
      <c r="AJ6" s="313"/>
      <c r="AK6" s="313"/>
      <c r="AL6" s="313"/>
      <c r="AM6" s="313"/>
      <c r="AN6" s="313"/>
      <c r="AO6" s="313"/>
      <c r="AP6" s="313"/>
      <c r="AQ6" s="313"/>
      <c r="AR6" s="314"/>
      <c r="AS6" s="35"/>
      <c r="AT6" s="312" t="s">
        <v>136</v>
      </c>
      <c r="AU6" s="313"/>
      <c r="AV6" s="313"/>
      <c r="AW6" s="313"/>
      <c r="AX6" s="313"/>
      <c r="AY6" s="313"/>
      <c r="AZ6" s="313"/>
      <c r="BA6" s="313"/>
      <c r="BB6" s="313"/>
      <c r="BC6" s="314"/>
      <c r="BD6" s="35"/>
      <c r="BE6" s="312" t="s">
        <v>137</v>
      </c>
      <c r="BF6" s="313"/>
      <c r="BG6" s="313"/>
      <c r="BH6" s="313"/>
      <c r="BI6" s="313"/>
      <c r="BJ6" s="313"/>
      <c r="BK6" s="313"/>
      <c r="BL6" s="313"/>
      <c r="BM6" s="313"/>
      <c r="BN6" s="314"/>
    </row>
    <row r="7" spans="1:66" s="13" customFormat="1" ht="9" customHeight="1" x14ac:dyDescent="0.25">
      <c r="B7" s="385"/>
      <c r="C7" s="386"/>
      <c r="D7" s="386"/>
      <c r="E7" s="386"/>
      <c r="F7" s="386"/>
      <c r="G7" s="386"/>
      <c r="H7" s="386"/>
      <c r="I7" s="386"/>
      <c r="J7" s="386"/>
      <c r="K7" s="387"/>
      <c r="L7" s="34"/>
      <c r="M7" s="36"/>
      <c r="N7" s="1"/>
      <c r="O7" s="1"/>
      <c r="P7" s="1"/>
      <c r="Q7" s="1"/>
      <c r="R7" s="1"/>
      <c r="S7" s="1"/>
      <c r="T7" s="1"/>
      <c r="U7" s="1"/>
      <c r="V7" s="37"/>
      <c r="W7" s="1"/>
      <c r="X7" s="32"/>
      <c r="Y7" s="1"/>
      <c r="Z7" s="1"/>
      <c r="AA7" s="1"/>
      <c r="AB7" s="1"/>
      <c r="AC7" s="1"/>
      <c r="AD7" s="1"/>
      <c r="AE7" s="1"/>
      <c r="AF7" s="1"/>
      <c r="AG7" s="33"/>
      <c r="AH7" s="35"/>
      <c r="AI7" s="32"/>
      <c r="AJ7" s="1"/>
      <c r="AK7" s="1"/>
      <c r="AL7" s="1"/>
      <c r="AM7" s="1"/>
      <c r="AN7" s="1"/>
      <c r="AO7" s="1"/>
      <c r="AP7" s="1"/>
      <c r="AQ7" s="1"/>
      <c r="AR7" s="33"/>
      <c r="AS7" s="35"/>
      <c r="AT7" s="38"/>
      <c r="AU7" s="35"/>
      <c r="AV7" s="35"/>
      <c r="AW7" s="35"/>
      <c r="AX7" s="35"/>
      <c r="AY7" s="35"/>
      <c r="AZ7" s="35"/>
      <c r="BA7" s="35"/>
      <c r="BB7" s="35"/>
      <c r="BC7" s="39"/>
      <c r="BD7" s="35"/>
      <c r="BE7" s="38"/>
      <c r="BF7" s="35"/>
      <c r="BG7" s="35"/>
      <c r="BH7" s="35"/>
      <c r="BI7" s="35"/>
      <c r="BJ7" s="35"/>
      <c r="BK7" s="35"/>
      <c r="BL7" s="35"/>
      <c r="BM7" s="35"/>
      <c r="BN7" s="39"/>
    </row>
    <row r="8" spans="1:66" s="13" customFormat="1" ht="9" customHeight="1" x14ac:dyDescent="0.25">
      <c r="B8" s="385"/>
      <c r="C8" s="386"/>
      <c r="D8" s="386"/>
      <c r="E8" s="386"/>
      <c r="F8" s="386"/>
      <c r="G8" s="386"/>
      <c r="H8" s="386"/>
      <c r="I8" s="386"/>
      <c r="J8" s="386"/>
      <c r="K8" s="387"/>
      <c r="L8" s="34"/>
      <c r="M8" s="36"/>
      <c r="N8" s="1"/>
      <c r="O8" s="1"/>
      <c r="P8" s="1"/>
      <c r="Q8" s="1"/>
      <c r="R8" s="1"/>
      <c r="S8" s="1"/>
      <c r="T8" s="1"/>
      <c r="U8" s="1"/>
      <c r="V8" s="37"/>
      <c r="W8" s="1"/>
      <c r="X8" s="32"/>
      <c r="Y8" s="1"/>
      <c r="Z8" s="1"/>
      <c r="AA8" s="1"/>
      <c r="AB8" s="1"/>
      <c r="AC8" s="1"/>
      <c r="AD8" s="1"/>
      <c r="AE8" s="1"/>
      <c r="AF8" s="1"/>
      <c r="AG8" s="33"/>
      <c r="AH8" s="35"/>
      <c r="AI8" s="32"/>
      <c r="AJ8" s="1"/>
      <c r="AK8" s="1"/>
      <c r="AL8" s="1"/>
      <c r="AM8" s="1"/>
      <c r="AN8" s="1"/>
      <c r="AO8" s="1"/>
      <c r="AP8" s="1"/>
      <c r="AQ8" s="1"/>
      <c r="AR8" s="33"/>
      <c r="AS8" s="35"/>
      <c r="AT8" s="38"/>
      <c r="AU8" s="35"/>
      <c r="AV8" s="35"/>
      <c r="AW8" s="35"/>
      <c r="AX8" s="35"/>
      <c r="AY8" s="35"/>
      <c r="AZ8" s="35"/>
      <c r="BA8" s="35"/>
      <c r="BB8" s="35"/>
      <c r="BC8" s="39"/>
      <c r="BD8" s="35"/>
      <c r="BE8" s="38"/>
      <c r="BF8" s="35"/>
      <c r="BG8" s="35"/>
      <c r="BH8" s="35"/>
      <c r="BI8" s="35"/>
      <c r="BJ8" s="35"/>
      <c r="BK8" s="35"/>
      <c r="BL8" s="35"/>
      <c r="BM8" s="35"/>
      <c r="BN8" s="39"/>
    </row>
    <row r="9" spans="1:66" s="13" customFormat="1" ht="9" customHeight="1" x14ac:dyDescent="0.25">
      <c r="B9" s="385"/>
      <c r="C9" s="386"/>
      <c r="D9" s="386"/>
      <c r="E9" s="386"/>
      <c r="F9" s="386"/>
      <c r="G9" s="386"/>
      <c r="H9" s="386"/>
      <c r="I9" s="386"/>
      <c r="J9" s="386"/>
      <c r="K9" s="387"/>
      <c r="L9" s="34"/>
      <c r="M9" s="36"/>
      <c r="N9" s="1"/>
      <c r="O9" s="1"/>
      <c r="P9" s="1"/>
      <c r="Q9" s="1"/>
      <c r="R9" s="1"/>
      <c r="S9" s="1"/>
      <c r="T9" s="1"/>
      <c r="U9" s="1"/>
      <c r="V9" s="37"/>
      <c r="W9" s="1"/>
      <c r="X9" s="32"/>
      <c r="Y9" s="1"/>
      <c r="Z9" s="1"/>
      <c r="AA9" s="1"/>
      <c r="AB9" s="1"/>
      <c r="AC9" s="1"/>
      <c r="AD9" s="1"/>
      <c r="AE9" s="1"/>
      <c r="AF9" s="1"/>
      <c r="AG9" s="33"/>
      <c r="AH9" s="35"/>
      <c r="AI9" s="32"/>
      <c r="AJ9" s="1"/>
      <c r="AK9" s="1"/>
      <c r="AL9" s="1"/>
      <c r="AM9" s="1"/>
      <c r="AN9" s="1"/>
      <c r="AO9" s="1"/>
      <c r="AP9" s="1"/>
      <c r="AQ9" s="1"/>
      <c r="AR9" s="33"/>
      <c r="AS9" s="35"/>
      <c r="AT9" s="38"/>
      <c r="AU9" s="35"/>
      <c r="AV9" s="35"/>
      <c r="AW9" s="35"/>
      <c r="AX9" s="35"/>
      <c r="AY9" s="35"/>
      <c r="AZ9" s="35"/>
      <c r="BA9" s="35"/>
      <c r="BB9" s="35"/>
      <c r="BC9" s="39"/>
      <c r="BD9" s="35"/>
      <c r="BE9" s="38"/>
      <c r="BF9" s="35"/>
      <c r="BG9" s="35"/>
      <c r="BH9" s="35"/>
      <c r="BI9" s="35"/>
      <c r="BJ9" s="35"/>
      <c r="BK9" s="35"/>
      <c r="BL9" s="35"/>
      <c r="BM9" s="35"/>
      <c r="BN9" s="39"/>
    </row>
    <row r="10" spans="1:66" s="13" customFormat="1" ht="9" customHeight="1" x14ac:dyDescent="0.25">
      <c r="B10" s="385"/>
      <c r="C10" s="386"/>
      <c r="D10" s="386"/>
      <c r="E10" s="386"/>
      <c r="F10" s="386"/>
      <c r="G10" s="386"/>
      <c r="H10" s="386"/>
      <c r="I10" s="386"/>
      <c r="J10" s="386"/>
      <c r="K10" s="387"/>
      <c r="L10" s="34"/>
      <c r="M10" s="36"/>
      <c r="N10" s="1"/>
      <c r="O10" s="1"/>
      <c r="P10" s="1"/>
      <c r="Q10" s="1"/>
      <c r="R10" s="1"/>
      <c r="S10" s="1"/>
      <c r="T10" s="1"/>
      <c r="U10" s="1"/>
      <c r="V10" s="37"/>
      <c r="W10" s="1"/>
      <c r="X10" s="32"/>
      <c r="Y10" s="1"/>
      <c r="Z10" s="1"/>
      <c r="AA10" s="1"/>
      <c r="AB10" s="1"/>
      <c r="AC10" s="1"/>
      <c r="AD10" s="1"/>
      <c r="AE10" s="1"/>
      <c r="AF10" s="1"/>
      <c r="AG10" s="33"/>
      <c r="AH10" s="35"/>
      <c r="AI10" s="32"/>
      <c r="AJ10" s="1"/>
      <c r="AK10" s="1"/>
      <c r="AL10" s="1"/>
      <c r="AM10" s="1"/>
      <c r="AN10" s="1"/>
      <c r="AO10" s="1"/>
      <c r="AP10" s="1"/>
      <c r="AQ10" s="1"/>
      <c r="AR10" s="33"/>
      <c r="AS10" s="35"/>
      <c r="AT10" s="38"/>
      <c r="AU10" s="35"/>
      <c r="AV10" s="35"/>
      <c r="AW10" s="35"/>
      <c r="AX10" s="35"/>
      <c r="AY10" s="35"/>
      <c r="AZ10" s="35"/>
      <c r="BA10" s="35"/>
      <c r="BB10" s="35"/>
      <c r="BC10" s="39"/>
      <c r="BD10" s="35"/>
      <c r="BE10" s="38"/>
      <c r="BF10" s="35"/>
      <c r="BG10" s="35"/>
      <c r="BH10" s="35"/>
      <c r="BI10" s="35"/>
      <c r="BJ10" s="35"/>
      <c r="BK10" s="35"/>
      <c r="BL10" s="35"/>
      <c r="BM10" s="35"/>
      <c r="BN10" s="39"/>
    </row>
    <row r="11" spans="1:66" s="13" customFormat="1" ht="9" customHeight="1" x14ac:dyDescent="0.25">
      <c r="B11" s="385"/>
      <c r="C11" s="386"/>
      <c r="D11" s="386"/>
      <c r="E11" s="386"/>
      <c r="F11" s="386"/>
      <c r="G11" s="386"/>
      <c r="H11" s="386"/>
      <c r="I11" s="386"/>
      <c r="J11" s="386"/>
      <c r="K11" s="387"/>
      <c r="L11" s="34"/>
      <c r="M11" s="36"/>
      <c r="N11" s="1"/>
      <c r="O11" s="1"/>
      <c r="P11" s="1"/>
      <c r="Q11" s="1"/>
      <c r="R11" s="1"/>
      <c r="S11" s="1"/>
      <c r="T11" s="1"/>
      <c r="U11" s="1"/>
      <c r="V11" s="37"/>
      <c r="W11" s="1"/>
      <c r="X11" s="32"/>
      <c r="Y11" s="1"/>
      <c r="Z11" s="1"/>
      <c r="AA11" s="1"/>
      <c r="AB11" s="1"/>
      <c r="AC11" s="1"/>
      <c r="AD11" s="1"/>
      <c r="AE11" s="1"/>
      <c r="AF11" s="1"/>
      <c r="AG11" s="33"/>
      <c r="AH11" s="35"/>
      <c r="AI11" s="32"/>
      <c r="AJ11" s="1"/>
      <c r="AK11" s="1"/>
      <c r="AL11" s="1"/>
      <c r="AM11" s="1"/>
      <c r="AN11" s="1"/>
      <c r="AO11" s="1"/>
      <c r="AP11" s="1"/>
      <c r="AQ11" s="1"/>
      <c r="AR11" s="33"/>
      <c r="AS11" s="35"/>
      <c r="AT11" s="38"/>
      <c r="AU11" s="35"/>
      <c r="AV11" s="35"/>
      <c r="AW11" s="35"/>
      <c r="AX11" s="35"/>
      <c r="AY11" s="35"/>
      <c r="AZ11" s="35"/>
      <c r="BA11" s="35"/>
      <c r="BB11" s="35"/>
      <c r="BC11" s="39"/>
      <c r="BD11" s="35"/>
      <c r="BE11" s="38"/>
      <c r="BF11" s="35"/>
      <c r="BG11" s="35"/>
      <c r="BH11" s="35"/>
      <c r="BI11" s="35"/>
      <c r="BJ11" s="35"/>
      <c r="BK11" s="35"/>
      <c r="BL11" s="35"/>
      <c r="BM11" s="35"/>
      <c r="BN11" s="39"/>
    </row>
    <row r="12" spans="1:66" s="13" customFormat="1" ht="9" customHeight="1" x14ac:dyDescent="0.25">
      <c r="B12" s="385"/>
      <c r="C12" s="386"/>
      <c r="D12" s="386"/>
      <c r="E12" s="386"/>
      <c r="F12" s="386"/>
      <c r="G12" s="386"/>
      <c r="H12" s="386"/>
      <c r="I12" s="386"/>
      <c r="J12" s="386"/>
      <c r="K12" s="387"/>
      <c r="L12" s="34"/>
      <c r="M12" s="36"/>
      <c r="N12" s="1"/>
      <c r="O12" s="1"/>
      <c r="P12" s="1"/>
      <c r="Q12" s="1"/>
      <c r="R12" s="1"/>
      <c r="S12" s="1"/>
      <c r="T12" s="1"/>
      <c r="U12" s="1"/>
      <c r="V12" s="37"/>
      <c r="W12" s="1"/>
      <c r="X12" s="32"/>
      <c r="Y12" s="1"/>
      <c r="Z12" s="1"/>
      <c r="AA12" s="1"/>
      <c r="AB12" s="1"/>
      <c r="AC12" s="1"/>
      <c r="AD12" s="1"/>
      <c r="AE12" s="1"/>
      <c r="AF12" s="1"/>
      <c r="AG12" s="33"/>
      <c r="AH12" s="35"/>
      <c r="AI12" s="32"/>
      <c r="AJ12" s="1"/>
      <c r="AK12" s="1"/>
      <c r="AL12" s="1"/>
      <c r="AM12" s="1"/>
      <c r="AN12" s="1"/>
      <c r="AO12" s="1"/>
      <c r="AP12" s="1"/>
      <c r="AQ12" s="1"/>
      <c r="AR12" s="33"/>
      <c r="AS12" s="35"/>
      <c r="AT12" s="38"/>
      <c r="AU12" s="35"/>
      <c r="AV12" s="35"/>
      <c r="AW12" s="35"/>
      <c r="AX12" s="35"/>
      <c r="AY12" s="35"/>
      <c r="AZ12" s="35"/>
      <c r="BA12" s="35"/>
      <c r="BB12" s="35"/>
      <c r="BC12" s="39"/>
      <c r="BD12" s="35"/>
      <c r="BE12" s="38"/>
      <c r="BF12" s="35"/>
      <c r="BG12" s="35"/>
      <c r="BH12" s="35"/>
      <c r="BI12" s="35"/>
      <c r="BJ12" s="35"/>
      <c r="BK12" s="35"/>
      <c r="BL12" s="35"/>
      <c r="BM12" s="35"/>
      <c r="BN12" s="39"/>
    </row>
    <row r="13" spans="1:66" s="13" customFormat="1" ht="9" customHeight="1" x14ac:dyDescent="0.25">
      <c r="B13" s="385"/>
      <c r="C13" s="386"/>
      <c r="D13" s="386"/>
      <c r="E13" s="386"/>
      <c r="F13" s="386"/>
      <c r="G13" s="386"/>
      <c r="H13" s="386"/>
      <c r="I13" s="386"/>
      <c r="J13" s="386"/>
      <c r="K13" s="387"/>
      <c r="L13" s="34"/>
      <c r="M13" s="36"/>
      <c r="N13" s="1"/>
      <c r="O13" s="1"/>
      <c r="P13" s="1"/>
      <c r="Q13" s="1"/>
      <c r="R13" s="1"/>
      <c r="S13" s="1"/>
      <c r="T13" s="1"/>
      <c r="U13" s="1"/>
      <c r="V13" s="37"/>
      <c r="W13" s="1"/>
      <c r="X13" s="32"/>
      <c r="Y13" s="1"/>
      <c r="Z13" s="1"/>
      <c r="AA13" s="1"/>
      <c r="AB13" s="1"/>
      <c r="AC13" s="1"/>
      <c r="AD13" s="1"/>
      <c r="AE13" s="1"/>
      <c r="AF13" s="1"/>
      <c r="AG13" s="33"/>
      <c r="AH13" s="35"/>
      <c r="AI13" s="32"/>
      <c r="AJ13" s="1"/>
      <c r="AK13" s="1"/>
      <c r="AL13" s="1"/>
      <c r="AM13" s="1"/>
      <c r="AN13" s="1"/>
      <c r="AO13" s="1"/>
      <c r="AP13" s="1"/>
      <c r="AQ13" s="1"/>
      <c r="AR13" s="33"/>
      <c r="AS13" s="35"/>
      <c r="AT13" s="38"/>
      <c r="AU13" s="35"/>
      <c r="AV13" s="35"/>
      <c r="AW13" s="35"/>
      <c r="AX13" s="35"/>
      <c r="AY13" s="35"/>
      <c r="AZ13" s="35"/>
      <c r="BA13" s="35"/>
      <c r="BB13" s="35"/>
      <c r="BC13" s="39"/>
      <c r="BD13" s="35"/>
      <c r="BE13" s="38"/>
      <c r="BF13" s="35"/>
      <c r="BG13" s="35"/>
      <c r="BH13" s="35"/>
      <c r="BI13" s="35"/>
      <c r="BJ13" s="35"/>
      <c r="BK13" s="35"/>
      <c r="BL13" s="35"/>
      <c r="BM13" s="35"/>
      <c r="BN13" s="39"/>
    </row>
    <row r="14" spans="1:66" s="13" customFormat="1" ht="9" customHeight="1" x14ac:dyDescent="0.25">
      <c r="B14" s="385"/>
      <c r="C14" s="386"/>
      <c r="D14" s="386"/>
      <c r="E14" s="386"/>
      <c r="F14" s="386"/>
      <c r="G14" s="386"/>
      <c r="H14" s="386"/>
      <c r="I14" s="386"/>
      <c r="J14" s="386"/>
      <c r="K14" s="387"/>
      <c r="L14" s="34"/>
      <c r="M14" s="40"/>
      <c r="N14" s="35"/>
      <c r="O14" s="35"/>
      <c r="P14" s="35"/>
      <c r="Q14" s="35"/>
      <c r="R14" s="35"/>
      <c r="S14" s="356" t="s">
        <v>138</v>
      </c>
      <c r="T14" s="319"/>
      <c r="U14" s="319" t="s">
        <v>139</v>
      </c>
      <c r="V14" s="320"/>
      <c r="W14" s="1"/>
      <c r="X14" s="38"/>
      <c r="Y14" s="35"/>
      <c r="Z14" s="35"/>
      <c r="AA14" s="35"/>
      <c r="AB14" s="35"/>
      <c r="AC14" s="35"/>
      <c r="AD14" s="35"/>
      <c r="AE14" s="35"/>
      <c r="AF14" s="35"/>
      <c r="AG14" s="39"/>
      <c r="AH14" s="35"/>
      <c r="AI14" s="38"/>
      <c r="AJ14" s="35"/>
      <c r="AK14" s="35"/>
      <c r="AL14" s="35"/>
      <c r="AM14" s="35"/>
      <c r="AN14" s="35"/>
      <c r="AO14" s="35"/>
      <c r="AP14" s="35"/>
      <c r="AQ14" s="35"/>
      <c r="AR14" s="39"/>
      <c r="AS14" s="35"/>
      <c r="AT14" s="38"/>
      <c r="AU14" s="35"/>
      <c r="AV14" s="35"/>
      <c r="AW14" s="35"/>
      <c r="AX14" s="35"/>
      <c r="AY14" s="35"/>
      <c r="AZ14" s="35"/>
      <c r="BA14" s="35"/>
      <c r="BB14" s="35"/>
      <c r="BC14" s="39"/>
      <c r="BD14" s="35"/>
      <c r="BE14" s="38"/>
      <c r="BF14" s="35"/>
      <c r="BG14" s="35"/>
      <c r="BH14" s="35"/>
      <c r="BI14" s="35"/>
      <c r="BJ14" s="35"/>
      <c r="BK14" s="35"/>
      <c r="BL14" s="35"/>
      <c r="BM14" s="35"/>
      <c r="BN14" s="39"/>
    </row>
    <row r="15" spans="1:66" s="13" customFormat="1" ht="9" customHeight="1" x14ac:dyDescent="0.25">
      <c r="B15" s="385"/>
      <c r="C15" s="386"/>
      <c r="D15" s="386"/>
      <c r="E15" s="386"/>
      <c r="F15" s="386"/>
      <c r="G15" s="386"/>
      <c r="H15" s="386"/>
      <c r="I15" s="386"/>
      <c r="J15" s="386"/>
      <c r="K15" s="387"/>
      <c r="L15" s="34"/>
      <c r="M15" s="308" t="s">
        <v>140</v>
      </c>
      <c r="N15" s="308"/>
      <c r="O15" s="308"/>
      <c r="P15" s="308"/>
      <c r="Q15" s="308"/>
      <c r="R15" s="308"/>
      <c r="S15" s="309">
        <f>2800*B3</f>
        <v>5320</v>
      </c>
      <c r="T15" s="309"/>
      <c r="U15" s="309"/>
      <c r="V15" s="309"/>
      <c r="W15" s="1"/>
      <c r="X15" s="32"/>
      <c r="Y15" s="1"/>
      <c r="Z15" s="1"/>
      <c r="AA15" s="1"/>
      <c r="AB15" s="1"/>
      <c r="AC15" s="1"/>
      <c r="AD15" s="35"/>
      <c r="AE15" s="35"/>
      <c r="AF15" s="35"/>
      <c r="AG15" s="39"/>
      <c r="AH15" s="35"/>
      <c r="AI15" s="32"/>
      <c r="AJ15" s="1"/>
      <c r="AK15" s="1"/>
      <c r="AL15" s="1"/>
      <c r="AM15" s="1"/>
      <c r="AN15" s="1"/>
      <c r="AO15" s="35"/>
      <c r="AP15" s="35"/>
      <c r="AQ15" s="35"/>
      <c r="AR15" s="39"/>
      <c r="AS15" s="35"/>
      <c r="AT15" s="38" t="s">
        <v>141</v>
      </c>
      <c r="AU15" s="35"/>
      <c r="AV15" s="35"/>
      <c r="AW15" s="35"/>
      <c r="AX15" s="35"/>
      <c r="AY15" s="35"/>
      <c r="AZ15" s="356" t="s">
        <v>138</v>
      </c>
      <c r="BA15" s="319"/>
      <c r="BB15" s="319" t="s">
        <v>139</v>
      </c>
      <c r="BC15" s="335"/>
      <c r="BD15" s="35"/>
      <c r="BE15" s="38"/>
      <c r="BF15" s="35"/>
      <c r="BG15" s="35"/>
      <c r="BH15" s="35"/>
      <c r="BI15" s="35"/>
      <c r="BJ15" s="35"/>
      <c r="BK15" s="35"/>
      <c r="BL15" s="35"/>
      <c r="BM15" s="35"/>
      <c r="BN15" s="39"/>
    </row>
    <row r="16" spans="1:66" s="13" customFormat="1" ht="9" customHeight="1" x14ac:dyDescent="0.25">
      <c r="B16" s="385"/>
      <c r="C16" s="386"/>
      <c r="D16" s="386"/>
      <c r="E16" s="386"/>
      <c r="F16" s="386"/>
      <c r="G16" s="386"/>
      <c r="H16" s="386"/>
      <c r="I16" s="386"/>
      <c r="J16" s="386"/>
      <c r="K16" s="387"/>
      <c r="L16" s="34"/>
      <c r="M16" s="308" t="s">
        <v>142</v>
      </c>
      <c r="N16" s="308"/>
      <c r="O16" s="308"/>
      <c r="P16" s="308"/>
      <c r="Q16" s="308"/>
      <c r="R16" s="308"/>
      <c r="S16" s="341">
        <f>4760*B3</f>
        <v>9044</v>
      </c>
      <c r="T16" s="342"/>
      <c r="U16" s="342"/>
      <c r="V16" s="343"/>
      <c r="W16" s="1"/>
      <c r="X16" s="38"/>
      <c r="Y16" s="35"/>
      <c r="Z16" s="35"/>
      <c r="AA16" s="35"/>
      <c r="AB16" s="35"/>
      <c r="AC16" s="35"/>
      <c r="AD16" s="356" t="s">
        <v>138</v>
      </c>
      <c r="AE16" s="319"/>
      <c r="AF16" s="319" t="s">
        <v>139</v>
      </c>
      <c r="AG16" s="335"/>
      <c r="AH16" s="35"/>
      <c r="AI16" s="38"/>
      <c r="AJ16" s="35"/>
      <c r="AK16" s="35"/>
      <c r="AL16" s="35"/>
      <c r="AM16" s="35"/>
      <c r="AN16" s="35"/>
      <c r="AO16" s="356" t="s">
        <v>138</v>
      </c>
      <c r="AP16" s="319"/>
      <c r="AQ16" s="319" t="s">
        <v>139</v>
      </c>
      <c r="AR16" s="335"/>
      <c r="AS16" s="35"/>
      <c r="AT16" s="308" t="s">
        <v>140</v>
      </c>
      <c r="AU16" s="308"/>
      <c r="AV16" s="308"/>
      <c r="AW16" s="308"/>
      <c r="AX16" s="308"/>
      <c r="AY16" s="308"/>
      <c r="AZ16" s="309">
        <f>9660*B3</f>
        <v>18354</v>
      </c>
      <c r="BA16" s="309"/>
      <c r="BB16" s="309"/>
      <c r="BC16" s="309"/>
      <c r="BD16" s="35"/>
      <c r="BE16" s="38"/>
      <c r="BF16" s="35"/>
      <c r="BG16" s="35"/>
      <c r="BH16" s="35"/>
      <c r="BI16" s="35"/>
      <c r="BJ16" s="35"/>
      <c r="BK16" s="35"/>
      <c r="BL16" s="35"/>
      <c r="BM16" s="35"/>
      <c r="BN16" s="39"/>
    </row>
    <row r="17" spans="2:66" s="13" customFormat="1" ht="9" customHeight="1" x14ac:dyDescent="0.25">
      <c r="B17" s="388"/>
      <c r="C17" s="389"/>
      <c r="D17" s="389"/>
      <c r="E17" s="389"/>
      <c r="F17" s="389"/>
      <c r="G17" s="389"/>
      <c r="H17" s="389"/>
      <c r="I17" s="389"/>
      <c r="J17" s="389"/>
      <c r="K17" s="390"/>
      <c r="L17" s="34"/>
      <c r="M17" s="308" t="s">
        <v>143</v>
      </c>
      <c r="N17" s="308"/>
      <c r="O17" s="308"/>
      <c r="P17" s="308"/>
      <c r="Q17" s="308"/>
      <c r="R17" s="308"/>
      <c r="S17" s="309">
        <f>5880*B3</f>
        <v>11172</v>
      </c>
      <c r="T17" s="309"/>
      <c r="U17" s="309"/>
      <c r="V17" s="309"/>
      <c r="W17" s="41"/>
      <c r="X17" s="308" t="s">
        <v>144</v>
      </c>
      <c r="Y17" s="308"/>
      <c r="Z17" s="308"/>
      <c r="AA17" s="308"/>
      <c r="AB17" s="308"/>
      <c r="AC17" s="308"/>
      <c r="AD17" s="309">
        <f>12460*B3</f>
        <v>23674</v>
      </c>
      <c r="AE17" s="309"/>
      <c r="AF17" s="309"/>
      <c r="AG17" s="309"/>
      <c r="AH17" s="9"/>
      <c r="AI17" s="308" t="s">
        <v>145</v>
      </c>
      <c r="AJ17" s="308"/>
      <c r="AK17" s="308"/>
      <c r="AL17" s="308"/>
      <c r="AM17" s="308"/>
      <c r="AN17" s="308"/>
      <c r="AO17" s="309">
        <f>15400*B3</f>
        <v>29260</v>
      </c>
      <c r="AP17" s="309"/>
      <c r="AQ17" s="309"/>
      <c r="AR17" s="309"/>
      <c r="AS17" s="9"/>
      <c r="AT17" s="308" t="s">
        <v>146</v>
      </c>
      <c r="AU17" s="308"/>
      <c r="AV17" s="308"/>
      <c r="AW17" s="308"/>
      <c r="AX17" s="308"/>
      <c r="AY17" s="308"/>
      <c r="AZ17" s="309">
        <f>12320*B3</f>
        <v>23408</v>
      </c>
      <c r="BA17" s="309"/>
      <c r="BB17" s="309"/>
      <c r="BC17" s="309"/>
      <c r="BD17" s="9"/>
      <c r="BE17" s="308" t="s">
        <v>147</v>
      </c>
      <c r="BF17" s="308"/>
      <c r="BG17" s="308"/>
      <c r="BH17" s="308"/>
      <c r="BI17" s="308"/>
      <c r="BJ17" s="308"/>
      <c r="BK17" s="309" t="s">
        <v>276</v>
      </c>
      <c r="BL17" s="309"/>
      <c r="BM17" s="309"/>
      <c r="BN17" s="309"/>
    </row>
    <row r="18" spans="2:66" s="13" customFormat="1" ht="2.1" customHeight="1" x14ac:dyDescent="0.25">
      <c r="B18" s="5"/>
      <c r="C18" s="5"/>
      <c r="D18" s="5"/>
      <c r="E18" s="5"/>
      <c r="F18" s="5"/>
      <c r="G18" s="5"/>
      <c r="H18" s="5"/>
      <c r="I18" s="5"/>
      <c r="J18" s="5"/>
      <c r="K18" s="5"/>
      <c r="L18" s="1"/>
      <c r="M18" s="1"/>
      <c r="N18" s="1"/>
      <c r="O18" s="1"/>
      <c r="P18" s="1"/>
      <c r="Q18" s="1"/>
      <c r="R18" s="1"/>
      <c r="S18" s="1"/>
      <c r="T18" s="1"/>
      <c r="U18" s="1"/>
      <c r="V18" s="1"/>
      <c r="W18" s="1"/>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row>
    <row r="19" spans="2:66" s="13" customFormat="1" ht="9" customHeight="1" x14ac:dyDescent="0.25">
      <c r="B19" s="368" t="s">
        <v>266</v>
      </c>
      <c r="C19" s="368"/>
      <c r="D19" s="368"/>
      <c r="E19" s="368"/>
      <c r="F19" s="368"/>
      <c r="G19" s="368"/>
      <c r="H19" s="368"/>
      <c r="I19" s="368"/>
      <c r="J19" s="368"/>
      <c r="K19" s="368"/>
      <c r="L19" s="35"/>
      <c r="M19" s="321" t="s">
        <v>148</v>
      </c>
      <c r="N19" s="322"/>
      <c r="O19" s="323"/>
      <c r="P19" s="324" t="s">
        <v>149</v>
      </c>
      <c r="Q19" s="325"/>
      <c r="R19" s="325"/>
      <c r="S19" s="325"/>
      <c r="T19" s="325"/>
      <c r="U19" s="325"/>
      <c r="V19" s="326"/>
      <c r="W19" s="35"/>
      <c r="X19" s="321" t="s">
        <v>765</v>
      </c>
      <c r="Y19" s="322"/>
      <c r="Z19" s="323"/>
      <c r="AA19" s="324" t="s">
        <v>149</v>
      </c>
      <c r="AB19" s="325"/>
      <c r="AC19" s="325"/>
      <c r="AD19" s="325"/>
      <c r="AE19" s="325"/>
      <c r="AF19" s="325"/>
      <c r="AG19" s="326"/>
      <c r="AH19" s="35"/>
      <c r="AI19" s="321" t="s">
        <v>150</v>
      </c>
      <c r="AJ19" s="322"/>
      <c r="AK19" s="323"/>
      <c r="AL19" s="324" t="s">
        <v>149</v>
      </c>
      <c r="AM19" s="325"/>
      <c r="AN19" s="325"/>
      <c r="AO19" s="325"/>
      <c r="AP19" s="325"/>
      <c r="AQ19" s="325"/>
      <c r="AR19" s="326"/>
      <c r="AS19" s="35"/>
      <c r="AT19" s="321" t="s">
        <v>151</v>
      </c>
      <c r="AU19" s="322"/>
      <c r="AV19" s="323"/>
      <c r="AW19" s="324" t="s">
        <v>152</v>
      </c>
      <c r="AX19" s="325"/>
      <c r="AY19" s="325"/>
      <c r="AZ19" s="325"/>
      <c r="BA19" s="325"/>
      <c r="BB19" s="325"/>
      <c r="BC19" s="326"/>
      <c r="BD19" s="35"/>
      <c r="BE19" s="321" t="s">
        <v>153</v>
      </c>
      <c r="BF19" s="322"/>
      <c r="BG19" s="323"/>
      <c r="BH19" s="324" t="s">
        <v>154</v>
      </c>
      <c r="BI19" s="325"/>
      <c r="BJ19" s="325"/>
      <c r="BK19" s="325"/>
      <c r="BL19" s="325"/>
      <c r="BM19" s="325"/>
      <c r="BN19" s="326"/>
    </row>
    <row r="20" spans="2:66" s="13" customFormat="1" ht="9" customHeight="1" x14ac:dyDescent="0.25">
      <c r="B20" s="368"/>
      <c r="C20" s="368"/>
      <c r="D20" s="368"/>
      <c r="E20" s="368"/>
      <c r="F20" s="368"/>
      <c r="G20" s="368"/>
      <c r="H20" s="368"/>
      <c r="I20" s="368"/>
      <c r="J20" s="368"/>
      <c r="K20" s="368"/>
      <c r="L20" s="35"/>
      <c r="M20" s="312" t="s">
        <v>155</v>
      </c>
      <c r="N20" s="313"/>
      <c r="O20" s="313"/>
      <c r="P20" s="313"/>
      <c r="Q20" s="313"/>
      <c r="R20" s="313"/>
      <c r="S20" s="313"/>
      <c r="T20" s="313"/>
      <c r="U20" s="313"/>
      <c r="V20" s="314"/>
      <c r="W20" s="35"/>
      <c r="X20" s="312" t="s">
        <v>156</v>
      </c>
      <c r="Y20" s="313"/>
      <c r="Z20" s="313"/>
      <c r="AA20" s="313"/>
      <c r="AB20" s="313"/>
      <c r="AC20" s="313"/>
      <c r="AD20" s="313"/>
      <c r="AE20" s="313"/>
      <c r="AF20" s="313"/>
      <c r="AG20" s="314"/>
      <c r="AH20" s="35"/>
      <c r="AI20" s="312" t="s">
        <v>156</v>
      </c>
      <c r="AJ20" s="313"/>
      <c r="AK20" s="313"/>
      <c r="AL20" s="313"/>
      <c r="AM20" s="313"/>
      <c r="AN20" s="313"/>
      <c r="AO20" s="313"/>
      <c r="AP20" s="313"/>
      <c r="AQ20" s="313"/>
      <c r="AR20" s="314"/>
      <c r="AS20" s="35"/>
      <c r="AT20" s="312" t="s">
        <v>157</v>
      </c>
      <c r="AU20" s="313"/>
      <c r="AV20" s="313"/>
      <c r="AW20" s="313"/>
      <c r="AX20" s="313"/>
      <c r="AY20" s="313"/>
      <c r="AZ20" s="313"/>
      <c r="BA20" s="313"/>
      <c r="BB20" s="313"/>
      <c r="BC20" s="314"/>
      <c r="BD20" s="35"/>
      <c r="BE20" s="312" t="s">
        <v>158</v>
      </c>
      <c r="BF20" s="313"/>
      <c r="BG20" s="313"/>
      <c r="BH20" s="313"/>
      <c r="BI20" s="313"/>
      <c r="BJ20" s="313"/>
      <c r="BK20" s="313"/>
      <c r="BL20" s="313"/>
      <c r="BM20" s="313"/>
      <c r="BN20" s="314"/>
    </row>
    <row r="21" spans="2:66" s="13" customFormat="1" ht="9" customHeight="1" x14ac:dyDescent="0.25">
      <c r="B21" s="368"/>
      <c r="C21" s="368"/>
      <c r="D21" s="368"/>
      <c r="E21" s="368"/>
      <c r="F21" s="368"/>
      <c r="G21" s="368"/>
      <c r="H21" s="368"/>
      <c r="I21" s="368"/>
      <c r="J21" s="368"/>
      <c r="K21" s="368"/>
      <c r="L21" s="35"/>
      <c r="M21" s="312" t="s">
        <v>159</v>
      </c>
      <c r="N21" s="313"/>
      <c r="O21" s="313"/>
      <c r="P21" s="313"/>
      <c r="Q21" s="313"/>
      <c r="R21" s="313"/>
      <c r="S21" s="313"/>
      <c r="T21" s="313"/>
      <c r="U21" s="313"/>
      <c r="V21" s="314"/>
      <c r="W21" s="35"/>
      <c r="X21" s="312" t="s">
        <v>160</v>
      </c>
      <c r="Y21" s="313"/>
      <c r="Z21" s="313"/>
      <c r="AA21" s="313"/>
      <c r="AB21" s="313"/>
      <c r="AC21" s="313"/>
      <c r="AD21" s="313"/>
      <c r="AE21" s="313"/>
      <c r="AF21" s="313"/>
      <c r="AG21" s="314"/>
      <c r="AH21" s="35"/>
      <c r="AI21" s="312" t="s">
        <v>160</v>
      </c>
      <c r="AJ21" s="313"/>
      <c r="AK21" s="313"/>
      <c r="AL21" s="313"/>
      <c r="AM21" s="313"/>
      <c r="AN21" s="313"/>
      <c r="AO21" s="313"/>
      <c r="AP21" s="313"/>
      <c r="AQ21" s="313"/>
      <c r="AR21" s="314"/>
      <c r="AS21" s="35"/>
      <c r="AT21" s="38"/>
      <c r="AU21" s="35"/>
      <c r="AV21" s="35"/>
      <c r="AW21" s="35"/>
      <c r="AX21" s="35"/>
      <c r="AY21" s="35"/>
      <c r="AZ21" s="35"/>
      <c r="BA21" s="35"/>
      <c r="BB21" s="35"/>
      <c r="BC21" s="39"/>
      <c r="BD21" s="35"/>
      <c r="BE21" s="38"/>
      <c r="BF21" s="35"/>
      <c r="BG21" s="35"/>
      <c r="BH21" s="35"/>
      <c r="BI21" s="35"/>
      <c r="BJ21" s="35"/>
      <c r="BK21" s="35"/>
      <c r="BL21" s="35"/>
      <c r="BM21" s="35"/>
      <c r="BN21" s="39"/>
    </row>
    <row r="22" spans="2:66" s="13" customFormat="1" ht="9" customHeight="1" x14ac:dyDescent="0.25">
      <c r="B22" s="368"/>
      <c r="C22" s="368"/>
      <c r="D22" s="368"/>
      <c r="E22" s="368"/>
      <c r="F22" s="368"/>
      <c r="G22" s="368"/>
      <c r="H22" s="368"/>
      <c r="I22" s="368"/>
      <c r="J22" s="368"/>
      <c r="K22" s="368"/>
      <c r="L22" s="35"/>
      <c r="M22" s="38"/>
      <c r="N22" s="35"/>
      <c r="O22" s="35"/>
      <c r="P22" s="35"/>
      <c r="Q22" s="35"/>
      <c r="R22" s="35"/>
      <c r="S22" s="35"/>
      <c r="T22" s="35"/>
      <c r="U22" s="35"/>
      <c r="V22" s="39"/>
      <c r="W22" s="35"/>
      <c r="X22" s="38"/>
      <c r="Y22" s="35"/>
      <c r="Z22" s="35"/>
      <c r="AA22" s="35"/>
      <c r="AB22" s="35"/>
      <c r="AC22" s="35"/>
      <c r="AD22" s="35"/>
      <c r="AE22" s="35"/>
      <c r="AF22" s="35"/>
      <c r="AG22" s="39"/>
      <c r="AH22" s="35"/>
      <c r="AI22" s="38"/>
      <c r="AJ22" s="35"/>
      <c r="AK22" s="35"/>
      <c r="AL22" s="35"/>
      <c r="AM22" s="35"/>
      <c r="AN22" s="35"/>
      <c r="AO22" s="35"/>
      <c r="AP22" s="35"/>
      <c r="AQ22" s="35"/>
      <c r="AR22" s="39"/>
      <c r="AS22" s="35"/>
      <c r="AT22" s="38"/>
      <c r="AU22" s="35"/>
      <c r="AV22" s="35"/>
      <c r="AW22" s="35"/>
      <c r="AX22" s="35"/>
      <c r="AY22" s="35"/>
      <c r="AZ22" s="35"/>
      <c r="BA22" s="35"/>
      <c r="BB22" s="35"/>
      <c r="BC22" s="39"/>
      <c r="BD22" s="35"/>
      <c r="BE22" s="38"/>
      <c r="BF22" s="35"/>
      <c r="BG22" s="35"/>
      <c r="BH22" s="35"/>
      <c r="BI22" s="35"/>
      <c r="BJ22" s="35"/>
      <c r="BK22" s="35"/>
      <c r="BL22" s="35"/>
      <c r="BM22" s="35"/>
      <c r="BN22" s="39"/>
    </row>
    <row r="23" spans="2:66" s="13" customFormat="1" ht="9" customHeight="1" x14ac:dyDescent="0.25">
      <c r="B23" s="368"/>
      <c r="C23" s="368"/>
      <c r="D23" s="368"/>
      <c r="E23" s="368"/>
      <c r="F23" s="368"/>
      <c r="G23" s="368"/>
      <c r="H23" s="368"/>
      <c r="I23" s="368"/>
      <c r="J23" s="368"/>
      <c r="K23" s="368"/>
      <c r="L23" s="35"/>
      <c r="M23" s="38"/>
      <c r="N23" s="35"/>
      <c r="O23" s="35"/>
      <c r="P23" s="35"/>
      <c r="Q23" s="35"/>
      <c r="R23" s="35"/>
      <c r="S23" s="35"/>
      <c r="T23" s="35"/>
      <c r="U23" s="35"/>
      <c r="V23" s="39"/>
      <c r="W23" s="35"/>
      <c r="X23" s="38"/>
      <c r="Y23" s="35"/>
      <c r="Z23" s="35"/>
      <c r="AA23" s="35"/>
      <c r="AB23" s="35"/>
      <c r="AC23" s="35"/>
      <c r="AD23" s="35"/>
      <c r="AE23" s="35"/>
      <c r="AF23" s="35"/>
      <c r="AG23" s="39"/>
      <c r="AH23" s="35"/>
      <c r="AI23" s="38"/>
      <c r="AJ23" s="35"/>
      <c r="AK23" s="35"/>
      <c r="AL23" s="35"/>
      <c r="AM23" s="35"/>
      <c r="AN23" s="35"/>
      <c r="AO23" s="35"/>
      <c r="AP23" s="35"/>
      <c r="AQ23" s="35"/>
      <c r="AR23" s="39"/>
      <c r="AS23" s="35"/>
      <c r="AT23" s="38"/>
      <c r="AU23" s="35"/>
      <c r="AV23" s="35"/>
      <c r="AW23" s="35"/>
      <c r="AX23" s="35"/>
      <c r="AY23" s="35"/>
      <c r="AZ23" s="35"/>
      <c r="BA23" s="35"/>
      <c r="BB23" s="35"/>
      <c r="BC23" s="39"/>
      <c r="BD23" s="35"/>
      <c r="BE23" s="38"/>
      <c r="BF23" s="35"/>
      <c r="BG23" s="35"/>
      <c r="BH23" s="35"/>
      <c r="BI23" s="35"/>
      <c r="BJ23" s="35"/>
      <c r="BK23" s="35"/>
      <c r="BL23" s="35"/>
      <c r="BM23" s="35"/>
      <c r="BN23" s="39"/>
    </row>
    <row r="24" spans="2:66" s="13" customFormat="1" ht="9" customHeight="1" x14ac:dyDescent="0.25">
      <c r="B24" s="368"/>
      <c r="C24" s="368"/>
      <c r="D24" s="368"/>
      <c r="E24" s="368"/>
      <c r="F24" s="368"/>
      <c r="G24" s="368"/>
      <c r="H24" s="368"/>
      <c r="I24" s="368"/>
      <c r="J24" s="368"/>
      <c r="K24" s="368"/>
      <c r="L24" s="35"/>
      <c r="M24" s="38"/>
      <c r="N24" s="35"/>
      <c r="O24" s="35"/>
      <c r="P24" s="35"/>
      <c r="Q24" s="35"/>
      <c r="R24" s="35"/>
      <c r="S24" s="35"/>
      <c r="T24" s="35"/>
      <c r="U24" s="35"/>
      <c r="V24" s="39"/>
      <c r="W24" s="35"/>
      <c r="X24" s="38"/>
      <c r="Y24" s="35"/>
      <c r="Z24" s="35"/>
      <c r="AA24" s="35"/>
      <c r="AB24" s="35"/>
      <c r="AC24" s="35"/>
      <c r="AD24" s="35"/>
      <c r="AE24" s="35"/>
      <c r="AF24" s="35"/>
      <c r="AG24" s="39"/>
      <c r="AH24" s="35"/>
      <c r="AI24" s="38"/>
      <c r="AJ24" s="35"/>
      <c r="AK24" s="35"/>
      <c r="AL24" s="35"/>
      <c r="AM24" s="35"/>
      <c r="AN24" s="35"/>
      <c r="AO24" s="35"/>
      <c r="AP24" s="35"/>
      <c r="AQ24" s="35"/>
      <c r="AR24" s="39"/>
      <c r="AS24" s="35"/>
      <c r="AT24" s="38"/>
      <c r="AU24" s="35"/>
      <c r="AV24" s="35"/>
      <c r="AW24" s="35"/>
      <c r="AX24" s="35"/>
      <c r="AY24" s="35"/>
      <c r="AZ24" s="35"/>
      <c r="BA24" s="35"/>
      <c r="BB24" s="35"/>
      <c r="BC24" s="39"/>
      <c r="BD24" s="35"/>
      <c r="BE24" s="38"/>
      <c r="BF24" s="35"/>
      <c r="BG24" s="35"/>
      <c r="BH24" s="35"/>
      <c r="BI24" s="35"/>
      <c r="BJ24" s="35"/>
      <c r="BK24" s="35"/>
      <c r="BL24" s="35"/>
      <c r="BM24" s="35"/>
      <c r="BN24" s="39"/>
    </row>
    <row r="25" spans="2:66" s="13" customFormat="1" ht="9" customHeight="1" x14ac:dyDescent="0.25">
      <c r="B25" s="368"/>
      <c r="C25" s="368"/>
      <c r="D25" s="368"/>
      <c r="E25" s="368"/>
      <c r="F25" s="368"/>
      <c r="G25" s="368"/>
      <c r="H25" s="368"/>
      <c r="I25" s="368"/>
      <c r="J25" s="368"/>
      <c r="K25" s="368"/>
      <c r="L25" s="35"/>
      <c r="M25" s="38"/>
      <c r="N25" s="35"/>
      <c r="O25" s="35"/>
      <c r="P25" s="35"/>
      <c r="Q25" s="35"/>
      <c r="R25" s="35"/>
      <c r="S25" s="35"/>
      <c r="T25" s="35"/>
      <c r="U25" s="35"/>
      <c r="V25" s="39"/>
      <c r="W25" s="35"/>
      <c r="X25" s="38"/>
      <c r="Y25" s="35"/>
      <c r="Z25" s="35"/>
      <c r="AA25" s="35"/>
      <c r="AB25" s="35"/>
      <c r="AC25" s="35"/>
      <c r="AD25" s="35"/>
      <c r="AE25" s="35"/>
      <c r="AF25" s="35"/>
      <c r="AG25" s="39"/>
      <c r="AH25" s="35"/>
      <c r="AI25" s="38"/>
      <c r="AJ25" s="35"/>
      <c r="AK25" s="35"/>
      <c r="AL25" s="35"/>
      <c r="AM25" s="35"/>
      <c r="AN25" s="35"/>
      <c r="AO25" s="35"/>
      <c r="AP25" s="35"/>
      <c r="AQ25" s="35"/>
      <c r="AR25" s="39"/>
      <c r="AS25" s="35"/>
      <c r="AT25" s="38"/>
      <c r="AU25" s="35"/>
      <c r="AV25" s="35"/>
      <c r="AW25" s="35"/>
      <c r="AX25" s="35"/>
      <c r="AY25" s="35"/>
      <c r="AZ25" s="35"/>
      <c r="BA25" s="35"/>
      <c r="BB25" s="35"/>
      <c r="BC25" s="39"/>
      <c r="BD25" s="35"/>
      <c r="BE25" s="38"/>
      <c r="BF25" s="35"/>
      <c r="BG25" s="35"/>
      <c r="BH25" s="35"/>
      <c r="BI25" s="35"/>
      <c r="BJ25" s="35"/>
      <c r="BK25" s="35"/>
      <c r="BL25" s="35"/>
      <c r="BM25" s="35"/>
      <c r="BN25" s="39"/>
    </row>
    <row r="26" spans="2:66" s="13" customFormat="1" ht="9" customHeight="1" x14ac:dyDescent="0.25">
      <c r="B26" s="368"/>
      <c r="C26" s="368"/>
      <c r="D26" s="368"/>
      <c r="E26" s="368"/>
      <c r="F26" s="368"/>
      <c r="G26" s="368"/>
      <c r="H26" s="368"/>
      <c r="I26" s="368"/>
      <c r="J26" s="368"/>
      <c r="K26" s="368"/>
      <c r="L26" s="35"/>
      <c r="M26" s="38"/>
      <c r="N26" s="35"/>
      <c r="O26" s="35"/>
      <c r="P26" s="35"/>
      <c r="Q26" s="35"/>
      <c r="R26" s="35"/>
      <c r="S26" s="35"/>
      <c r="T26" s="35"/>
      <c r="U26" s="35"/>
      <c r="V26" s="39"/>
      <c r="W26" s="35"/>
      <c r="X26" s="38"/>
      <c r="Y26" s="35"/>
      <c r="Z26" s="35"/>
      <c r="AA26" s="35"/>
      <c r="AB26" s="35"/>
      <c r="AC26" s="35"/>
      <c r="AD26" s="35"/>
      <c r="AE26" s="35"/>
      <c r="AF26" s="35"/>
      <c r="AG26" s="39"/>
      <c r="AH26" s="35"/>
      <c r="AI26" s="38"/>
      <c r="AJ26" s="35"/>
      <c r="AK26" s="35"/>
      <c r="AL26" s="35"/>
      <c r="AM26" s="35"/>
      <c r="AN26" s="35"/>
      <c r="AO26" s="35"/>
      <c r="AP26" s="35"/>
      <c r="AQ26" s="35"/>
      <c r="AR26" s="39"/>
      <c r="AS26" s="35"/>
      <c r="AT26" s="38"/>
      <c r="AU26" s="35"/>
      <c r="AV26" s="35"/>
      <c r="AW26" s="35"/>
      <c r="AX26" s="35"/>
      <c r="AY26" s="35"/>
      <c r="AZ26" s="35"/>
      <c r="BA26" s="35"/>
      <c r="BB26" s="35"/>
      <c r="BC26" s="39"/>
      <c r="BD26" s="35"/>
      <c r="BE26" s="38"/>
      <c r="BF26" s="35"/>
      <c r="BG26" s="35"/>
      <c r="BH26" s="35"/>
      <c r="BI26" s="35"/>
      <c r="BJ26" s="35"/>
      <c r="BK26" s="35"/>
      <c r="BL26" s="35"/>
      <c r="BM26" s="35"/>
      <c r="BN26" s="39"/>
    </row>
    <row r="27" spans="2:66" s="13" customFormat="1" ht="9" customHeight="1" x14ac:dyDescent="0.25">
      <c r="B27" s="368"/>
      <c r="C27" s="368"/>
      <c r="D27" s="368"/>
      <c r="E27" s="368"/>
      <c r="F27" s="368"/>
      <c r="G27" s="368"/>
      <c r="H27" s="368"/>
      <c r="I27" s="368"/>
      <c r="J27" s="368"/>
      <c r="K27" s="368"/>
      <c r="L27" s="35"/>
      <c r="M27" s="38"/>
      <c r="N27" s="35"/>
      <c r="O27" s="35"/>
      <c r="P27" s="35"/>
      <c r="Q27" s="35"/>
      <c r="R27" s="35"/>
      <c r="S27" s="35"/>
      <c r="T27" s="35"/>
      <c r="U27" s="35"/>
      <c r="V27" s="39"/>
      <c r="W27" s="35"/>
      <c r="X27" s="38"/>
      <c r="Y27" s="35"/>
      <c r="Z27" s="35"/>
      <c r="AA27" s="35"/>
      <c r="AB27" s="35"/>
      <c r="AC27" s="35"/>
      <c r="AD27" s="35"/>
      <c r="AE27" s="35"/>
      <c r="AF27" s="35"/>
      <c r="AG27" s="39"/>
      <c r="AH27" s="35"/>
      <c r="AI27" s="38"/>
      <c r="AJ27" s="35"/>
      <c r="AK27" s="35"/>
      <c r="AL27" s="35"/>
      <c r="AM27" s="35"/>
      <c r="AN27" s="35"/>
      <c r="AO27" s="35"/>
      <c r="AP27" s="35"/>
      <c r="AQ27" s="35"/>
      <c r="AR27" s="39"/>
      <c r="AS27" s="35"/>
      <c r="AT27" s="38"/>
      <c r="AU27" s="35"/>
      <c r="AV27" s="35"/>
      <c r="AW27" s="35"/>
      <c r="AX27" s="35"/>
      <c r="AY27" s="35"/>
      <c r="AZ27" s="35"/>
      <c r="BA27" s="35"/>
      <c r="BB27" s="35"/>
      <c r="BC27" s="39"/>
      <c r="BD27" s="35"/>
      <c r="BE27" s="38"/>
      <c r="BF27" s="35"/>
      <c r="BG27" s="35"/>
      <c r="BH27" s="35"/>
      <c r="BI27" s="35"/>
      <c r="BJ27" s="35"/>
      <c r="BK27" s="35"/>
      <c r="BL27" s="35"/>
      <c r="BM27" s="35"/>
      <c r="BN27" s="39"/>
    </row>
    <row r="28" spans="2:66" s="13" customFormat="1" ht="9" customHeight="1" x14ac:dyDescent="0.25">
      <c r="B28" s="368"/>
      <c r="C28" s="368"/>
      <c r="D28" s="368"/>
      <c r="E28" s="368"/>
      <c r="F28" s="368"/>
      <c r="G28" s="368"/>
      <c r="H28" s="368"/>
      <c r="I28" s="368"/>
      <c r="J28" s="368"/>
      <c r="K28" s="368"/>
      <c r="L28" s="35"/>
      <c r="M28" s="38"/>
      <c r="N28" s="35"/>
      <c r="O28" s="35"/>
      <c r="P28" s="35"/>
      <c r="Q28" s="35"/>
      <c r="R28" s="35"/>
      <c r="S28" s="35"/>
      <c r="T28" s="35"/>
      <c r="U28" s="35"/>
      <c r="V28" s="39"/>
      <c r="W28" s="35"/>
      <c r="X28" s="38"/>
      <c r="Y28" s="35"/>
      <c r="Z28" s="35"/>
      <c r="AA28" s="35"/>
      <c r="AB28" s="35"/>
      <c r="AC28" s="35"/>
      <c r="AD28" s="35"/>
      <c r="AE28" s="35"/>
      <c r="AF28" s="35"/>
      <c r="AG28" s="39"/>
      <c r="AH28" s="35"/>
      <c r="AI28" s="38"/>
      <c r="AJ28" s="35"/>
      <c r="AK28" s="35"/>
      <c r="AL28" s="35"/>
      <c r="AM28" s="35"/>
      <c r="AN28" s="35"/>
      <c r="AO28" s="35"/>
      <c r="AP28" s="35"/>
      <c r="AQ28" s="35"/>
      <c r="AR28" s="39"/>
      <c r="AS28" s="35"/>
      <c r="AT28" s="38"/>
      <c r="AU28" s="35"/>
      <c r="AV28" s="35"/>
      <c r="AW28" s="35"/>
      <c r="AX28" s="35"/>
      <c r="AY28" s="35"/>
      <c r="AZ28" s="35"/>
      <c r="BA28" s="35"/>
      <c r="BB28" s="35"/>
      <c r="BC28" s="39"/>
      <c r="BD28" s="35"/>
      <c r="BE28" s="38"/>
      <c r="BF28" s="35"/>
      <c r="BG28" s="35"/>
      <c r="BH28" s="35"/>
      <c r="BI28" s="35"/>
      <c r="BJ28" s="35"/>
      <c r="BK28" s="35"/>
      <c r="BL28" s="35"/>
      <c r="BM28" s="35"/>
      <c r="BN28" s="39"/>
    </row>
    <row r="29" spans="2:66" s="13" customFormat="1" ht="9" customHeight="1" x14ac:dyDescent="0.25">
      <c r="B29" s="368"/>
      <c r="C29" s="368"/>
      <c r="D29" s="368"/>
      <c r="E29" s="368"/>
      <c r="F29" s="368"/>
      <c r="G29" s="368"/>
      <c r="H29" s="368"/>
      <c r="I29" s="368"/>
      <c r="J29" s="368"/>
      <c r="K29" s="368"/>
      <c r="L29" s="35"/>
      <c r="M29" s="38"/>
      <c r="N29" s="35"/>
      <c r="O29" s="35"/>
      <c r="P29" s="35"/>
      <c r="Q29" s="35"/>
      <c r="R29" s="35"/>
      <c r="S29" s="35"/>
      <c r="T29" s="35"/>
      <c r="U29" s="35"/>
      <c r="V29" s="39"/>
      <c r="W29" s="35"/>
      <c r="X29" s="38"/>
      <c r="Y29" s="35"/>
      <c r="Z29" s="35"/>
      <c r="AA29" s="35"/>
      <c r="AB29" s="35"/>
      <c r="AC29" s="35"/>
      <c r="AD29" s="35"/>
      <c r="AE29" s="35"/>
      <c r="AF29" s="35"/>
      <c r="AG29" s="39"/>
      <c r="AH29" s="35"/>
      <c r="AI29" s="38"/>
      <c r="AJ29" s="35"/>
      <c r="AK29" s="35"/>
      <c r="AL29" s="35"/>
      <c r="AM29" s="35"/>
      <c r="AN29" s="35"/>
      <c r="AO29" s="35"/>
      <c r="AP29" s="35"/>
      <c r="AQ29" s="35"/>
      <c r="AR29" s="39"/>
      <c r="AS29" s="35"/>
      <c r="AT29" s="38"/>
      <c r="AU29" s="35"/>
      <c r="AV29" s="35"/>
      <c r="AW29" s="35"/>
      <c r="AX29" s="35"/>
      <c r="AY29" s="35"/>
      <c r="AZ29" s="35"/>
      <c r="BA29" s="35"/>
      <c r="BB29" s="35"/>
      <c r="BC29" s="39"/>
      <c r="BD29" s="35"/>
      <c r="BE29" s="38"/>
      <c r="BF29" s="35"/>
      <c r="BG29" s="35"/>
      <c r="BH29" s="35"/>
      <c r="BI29" s="35"/>
      <c r="BJ29" s="35"/>
      <c r="BK29" s="35"/>
      <c r="BL29" s="35"/>
      <c r="BM29" s="35"/>
      <c r="BN29" s="39"/>
    </row>
    <row r="30" spans="2:66" s="13" customFormat="1" ht="9" customHeight="1" x14ac:dyDescent="0.25">
      <c r="B30" s="368"/>
      <c r="C30" s="368"/>
      <c r="D30" s="368"/>
      <c r="E30" s="368"/>
      <c r="F30" s="368"/>
      <c r="G30" s="368"/>
      <c r="H30" s="368"/>
      <c r="I30" s="368"/>
      <c r="J30" s="368"/>
      <c r="K30" s="368"/>
      <c r="L30" s="35"/>
      <c r="M30" s="38"/>
      <c r="N30" s="35"/>
      <c r="O30" s="35"/>
      <c r="P30" s="35"/>
      <c r="Q30" s="35"/>
      <c r="R30" s="35"/>
      <c r="S30" s="35"/>
      <c r="T30" s="35"/>
      <c r="U30" s="35"/>
      <c r="V30" s="39"/>
      <c r="W30" s="35"/>
      <c r="X30" s="38"/>
      <c r="Y30" s="35"/>
      <c r="Z30" s="35"/>
      <c r="AA30" s="35"/>
      <c r="AB30" s="35"/>
      <c r="AC30" s="35"/>
      <c r="AD30" s="35"/>
      <c r="AE30" s="35"/>
      <c r="AF30" s="35"/>
      <c r="AG30" s="39"/>
      <c r="AH30" s="35"/>
      <c r="AI30" s="38"/>
      <c r="AJ30" s="35"/>
      <c r="AK30" s="35"/>
      <c r="AL30" s="35"/>
      <c r="AM30" s="35"/>
      <c r="AN30" s="35"/>
      <c r="AO30" s="35"/>
      <c r="AP30" s="35"/>
      <c r="AQ30" s="35"/>
      <c r="AR30" s="39"/>
      <c r="AS30" s="35"/>
      <c r="AT30" s="38"/>
      <c r="AU30" s="35"/>
      <c r="AV30" s="35"/>
      <c r="AW30" s="35"/>
      <c r="AX30" s="35"/>
      <c r="AY30" s="35"/>
      <c r="AZ30" s="35"/>
      <c r="BA30" s="35"/>
      <c r="BB30" s="35"/>
      <c r="BC30" s="39"/>
      <c r="BD30" s="35"/>
      <c r="BE30" s="38" t="s">
        <v>57</v>
      </c>
      <c r="BF30" s="35"/>
      <c r="BG30" s="35"/>
      <c r="BH30" s="35"/>
      <c r="BI30" s="35"/>
      <c r="BJ30" s="35"/>
      <c r="BK30" s="35"/>
      <c r="BL30" s="35"/>
      <c r="BM30" s="35"/>
      <c r="BN30" s="39"/>
    </row>
    <row r="31" spans="2:66" s="13" customFormat="1" ht="9" customHeight="1" x14ac:dyDescent="0.25">
      <c r="B31" s="368"/>
      <c r="C31" s="368"/>
      <c r="D31" s="368"/>
      <c r="E31" s="368"/>
      <c r="F31" s="368"/>
      <c r="G31" s="368"/>
      <c r="H31" s="368"/>
      <c r="I31" s="368"/>
      <c r="J31" s="368"/>
      <c r="K31" s="368"/>
      <c r="L31" s="35"/>
      <c r="M31" s="308" t="s">
        <v>161</v>
      </c>
      <c r="N31" s="308"/>
      <c r="O31" s="308"/>
      <c r="P31" s="308"/>
      <c r="Q31" s="308"/>
      <c r="R31" s="308"/>
      <c r="S31" s="309">
        <f>CEILING(2860*B3,1)</f>
        <v>5434</v>
      </c>
      <c r="T31" s="309"/>
      <c r="U31" s="309"/>
      <c r="V31" s="309"/>
      <c r="W31" s="2"/>
      <c r="X31" s="308" t="s">
        <v>161</v>
      </c>
      <c r="Y31" s="308"/>
      <c r="Z31" s="308"/>
      <c r="AA31" s="308"/>
      <c r="AB31" s="308"/>
      <c r="AC31" s="308"/>
      <c r="AD31" s="309">
        <f>CEILING(2859*B3,1)</f>
        <v>5433</v>
      </c>
      <c r="AE31" s="309"/>
      <c r="AF31" s="309"/>
      <c r="AG31" s="309"/>
      <c r="AH31" s="2"/>
      <c r="AI31" s="308" t="s">
        <v>161</v>
      </c>
      <c r="AJ31" s="308"/>
      <c r="AK31" s="308"/>
      <c r="AL31" s="308"/>
      <c r="AM31" s="308"/>
      <c r="AN31" s="308"/>
      <c r="AO31" s="309">
        <f>CEILING(2809*B3,1)</f>
        <v>5338</v>
      </c>
      <c r="AP31" s="309"/>
      <c r="AQ31" s="309"/>
      <c r="AR31" s="309"/>
      <c r="AS31" s="2"/>
      <c r="AT31" s="308" t="s">
        <v>162</v>
      </c>
      <c r="AU31" s="308"/>
      <c r="AV31" s="308"/>
      <c r="AW31" s="308"/>
      <c r="AX31" s="308"/>
      <c r="AY31" s="308"/>
      <c r="AZ31" s="309">
        <f>CEILING(6832*B3,1)</f>
        <v>12981</v>
      </c>
      <c r="BA31" s="309"/>
      <c r="BB31" s="309"/>
      <c r="BC31" s="309"/>
      <c r="BD31" s="2"/>
      <c r="BE31" s="308" t="s">
        <v>163</v>
      </c>
      <c r="BF31" s="308"/>
      <c r="BG31" s="308"/>
      <c r="BH31" s="308"/>
      <c r="BI31" s="308"/>
      <c r="BJ31" s="308"/>
      <c r="BK31" s="309">
        <f>CEILING(4935*B3,1)</f>
        <v>9377</v>
      </c>
      <c r="BL31" s="309"/>
      <c r="BM31" s="309"/>
      <c r="BN31" s="309"/>
    </row>
    <row r="32" spans="2:66" s="13" customFormat="1" ht="2.1" customHeight="1"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row>
    <row r="33" spans="2:66" s="13" customFormat="1" ht="9" customHeight="1" x14ac:dyDescent="0.25">
      <c r="B33" s="321" t="s">
        <v>164</v>
      </c>
      <c r="C33" s="322"/>
      <c r="D33" s="323"/>
      <c r="E33" s="324" t="s">
        <v>165</v>
      </c>
      <c r="F33" s="325"/>
      <c r="G33" s="325"/>
      <c r="H33" s="325"/>
      <c r="I33" s="325"/>
      <c r="J33" s="325"/>
      <c r="K33" s="326"/>
      <c r="L33" s="35"/>
      <c r="M33" s="321" t="s">
        <v>166</v>
      </c>
      <c r="N33" s="322"/>
      <c r="O33" s="323"/>
      <c r="P33" s="324" t="s">
        <v>165</v>
      </c>
      <c r="Q33" s="325"/>
      <c r="R33" s="325"/>
      <c r="S33" s="325"/>
      <c r="T33" s="325"/>
      <c r="U33" s="325"/>
      <c r="V33" s="326"/>
      <c r="W33" s="35"/>
      <c r="X33" s="321" t="s">
        <v>167</v>
      </c>
      <c r="Y33" s="322"/>
      <c r="Z33" s="323"/>
      <c r="AA33" s="324" t="s">
        <v>168</v>
      </c>
      <c r="AB33" s="325"/>
      <c r="AC33" s="325"/>
      <c r="AD33" s="325"/>
      <c r="AE33" s="325"/>
      <c r="AF33" s="325"/>
      <c r="AG33" s="326"/>
      <c r="AH33" s="1"/>
      <c r="AI33" s="365" t="s">
        <v>169</v>
      </c>
      <c r="AJ33" s="366"/>
      <c r="AK33" s="367"/>
      <c r="AL33" s="324" t="s">
        <v>168</v>
      </c>
      <c r="AM33" s="325"/>
      <c r="AN33" s="325"/>
      <c r="AO33" s="325"/>
      <c r="AP33" s="325"/>
      <c r="AQ33" s="325"/>
      <c r="AR33" s="326"/>
      <c r="AS33" s="35"/>
      <c r="AT33" s="321" t="s">
        <v>170</v>
      </c>
      <c r="AU33" s="322"/>
      <c r="AV33" s="323"/>
      <c r="AW33" s="324" t="s">
        <v>171</v>
      </c>
      <c r="AX33" s="325"/>
      <c r="AY33" s="325"/>
      <c r="AZ33" s="325"/>
      <c r="BA33" s="325"/>
      <c r="BB33" s="325"/>
      <c r="BC33" s="326"/>
      <c r="BD33" s="35"/>
      <c r="BE33" s="321" t="s">
        <v>172</v>
      </c>
      <c r="BF33" s="322"/>
      <c r="BG33" s="323"/>
      <c r="BH33" s="324" t="s">
        <v>173</v>
      </c>
      <c r="BI33" s="325"/>
      <c r="BJ33" s="325"/>
      <c r="BK33" s="325"/>
      <c r="BL33" s="325"/>
      <c r="BM33" s="325"/>
      <c r="BN33" s="326"/>
    </row>
    <row r="34" spans="2:66" s="13" customFormat="1" ht="9" customHeight="1" x14ac:dyDescent="0.25">
      <c r="B34" s="312" t="s">
        <v>174</v>
      </c>
      <c r="C34" s="313"/>
      <c r="D34" s="313"/>
      <c r="E34" s="313"/>
      <c r="F34" s="313"/>
      <c r="G34" s="313"/>
      <c r="H34" s="313"/>
      <c r="I34" s="313"/>
      <c r="J34" s="313"/>
      <c r="K34" s="314"/>
      <c r="L34" s="35"/>
      <c r="M34" s="312" t="s">
        <v>174</v>
      </c>
      <c r="N34" s="313"/>
      <c r="O34" s="313"/>
      <c r="P34" s="313"/>
      <c r="Q34" s="313"/>
      <c r="R34" s="313"/>
      <c r="S34" s="313"/>
      <c r="T34" s="313"/>
      <c r="U34" s="313"/>
      <c r="V34" s="314"/>
      <c r="W34" s="35"/>
      <c r="X34" s="312" t="s">
        <v>95</v>
      </c>
      <c r="Y34" s="313"/>
      <c r="Z34" s="313"/>
      <c r="AA34" s="313"/>
      <c r="AB34" s="313"/>
      <c r="AC34" s="313"/>
      <c r="AD34" s="313"/>
      <c r="AE34" s="313"/>
      <c r="AF34" s="313"/>
      <c r="AG34" s="314"/>
      <c r="AH34" s="35"/>
      <c r="AI34" s="312" t="s">
        <v>175</v>
      </c>
      <c r="AJ34" s="313"/>
      <c r="AK34" s="313"/>
      <c r="AL34" s="313"/>
      <c r="AM34" s="313"/>
      <c r="AN34" s="313"/>
      <c r="AO34" s="313"/>
      <c r="AP34" s="313"/>
      <c r="AQ34" s="313"/>
      <c r="AR34" s="314"/>
      <c r="AS34" s="35"/>
      <c r="AT34" s="38"/>
      <c r="AU34" s="35"/>
      <c r="AV34" s="35"/>
      <c r="AW34" s="35"/>
      <c r="AX34" s="35"/>
      <c r="AY34" s="35"/>
      <c r="AZ34" s="35"/>
      <c r="BA34" s="35"/>
      <c r="BB34" s="35"/>
      <c r="BC34" s="39"/>
      <c r="BD34" s="35"/>
      <c r="BE34" s="312" t="s">
        <v>176</v>
      </c>
      <c r="BF34" s="313"/>
      <c r="BG34" s="313"/>
      <c r="BH34" s="313"/>
      <c r="BI34" s="313"/>
      <c r="BJ34" s="313"/>
      <c r="BK34" s="313"/>
      <c r="BL34" s="313"/>
      <c r="BM34" s="313"/>
      <c r="BN34" s="314"/>
    </row>
    <row r="35" spans="2:66" s="13" customFormat="1" ht="9" customHeight="1" x14ac:dyDescent="0.25">
      <c r="B35" s="312" t="s">
        <v>177</v>
      </c>
      <c r="C35" s="313"/>
      <c r="D35" s="313"/>
      <c r="E35" s="313"/>
      <c r="F35" s="313"/>
      <c r="G35" s="313"/>
      <c r="H35" s="313"/>
      <c r="I35" s="313"/>
      <c r="J35" s="313"/>
      <c r="K35" s="314"/>
      <c r="L35" s="35"/>
      <c r="M35" s="312" t="s">
        <v>178</v>
      </c>
      <c r="N35" s="313"/>
      <c r="O35" s="313"/>
      <c r="P35" s="313"/>
      <c r="Q35" s="313"/>
      <c r="R35" s="313"/>
      <c r="S35" s="313"/>
      <c r="T35" s="313"/>
      <c r="U35" s="313"/>
      <c r="V35" s="314"/>
      <c r="W35" s="35"/>
      <c r="X35" s="38"/>
      <c r="Y35" s="35"/>
      <c r="Z35" s="35"/>
      <c r="AA35" s="35"/>
      <c r="AB35" s="35"/>
      <c r="AC35" s="35"/>
      <c r="AD35" s="35"/>
      <c r="AE35" s="35"/>
      <c r="AF35" s="35"/>
      <c r="AG35" s="39"/>
      <c r="AH35" s="38" t="s">
        <v>95</v>
      </c>
      <c r="AI35" s="312" t="s">
        <v>95</v>
      </c>
      <c r="AJ35" s="313"/>
      <c r="AK35" s="313"/>
      <c r="AL35" s="313"/>
      <c r="AM35" s="313"/>
      <c r="AN35" s="313"/>
      <c r="AO35" s="313"/>
      <c r="AP35" s="313"/>
      <c r="AQ35" s="313"/>
      <c r="AR35" s="314"/>
      <c r="AS35" s="35"/>
      <c r="AT35" s="38"/>
      <c r="AU35" s="35"/>
      <c r="AV35" s="35"/>
      <c r="AW35" s="35"/>
      <c r="AX35" s="35"/>
      <c r="AY35" s="35"/>
      <c r="AZ35" s="35"/>
      <c r="BA35" s="35"/>
      <c r="BB35" s="35"/>
      <c r="BC35" s="39"/>
      <c r="BD35" s="35"/>
      <c r="BE35" s="38"/>
      <c r="BF35" s="35"/>
      <c r="BG35" s="35"/>
      <c r="BH35" s="35"/>
      <c r="BI35" s="35"/>
      <c r="BJ35" s="35"/>
      <c r="BK35" s="35"/>
      <c r="BL35" s="35"/>
      <c r="BM35" s="35"/>
      <c r="BN35" s="39"/>
    </row>
    <row r="36" spans="2:66" s="13" customFormat="1" ht="9" customHeight="1" x14ac:dyDescent="0.25">
      <c r="B36" s="38"/>
      <c r="C36" s="35"/>
      <c r="D36" s="35"/>
      <c r="E36" s="35"/>
      <c r="F36" s="35"/>
      <c r="G36" s="35"/>
      <c r="H36" s="35"/>
      <c r="I36" s="35"/>
      <c r="J36" s="35"/>
      <c r="K36" s="39"/>
      <c r="L36" s="35"/>
      <c r="M36" s="38"/>
      <c r="N36" s="35"/>
      <c r="O36" s="35"/>
      <c r="P36" s="35"/>
      <c r="Q36" s="35"/>
      <c r="R36" s="35"/>
      <c r="S36" s="35"/>
      <c r="T36" s="35"/>
      <c r="U36" s="35"/>
      <c r="V36" s="39"/>
      <c r="W36" s="35"/>
      <c r="X36" s="38"/>
      <c r="Y36" s="35"/>
      <c r="Z36" s="35"/>
      <c r="AA36" s="35"/>
      <c r="AB36" s="35"/>
      <c r="AC36" s="35"/>
      <c r="AD36" s="35"/>
      <c r="AE36" s="35"/>
      <c r="AF36" s="35"/>
      <c r="AG36" s="39"/>
      <c r="AH36" s="35"/>
      <c r="AI36" s="38"/>
      <c r="AJ36" s="35"/>
      <c r="AK36" s="35"/>
      <c r="AL36" s="35"/>
      <c r="AM36" s="35"/>
      <c r="AN36" s="35"/>
      <c r="AO36" s="35"/>
      <c r="AP36" s="35"/>
      <c r="AQ36" s="35"/>
      <c r="AR36" s="39"/>
      <c r="AS36" s="35"/>
      <c r="AT36" s="38"/>
      <c r="AU36" s="35"/>
      <c r="AV36" s="35"/>
      <c r="AW36" s="35"/>
      <c r="AX36" s="35"/>
      <c r="AY36" s="35"/>
      <c r="AZ36" s="35"/>
      <c r="BA36" s="35"/>
      <c r="BB36" s="35"/>
      <c r="BC36" s="39"/>
      <c r="BD36" s="35"/>
      <c r="BE36" s="38"/>
      <c r="BF36" s="35"/>
      <c r="BG36" s="35"/>
      <c r="BH36" s="35"/>
      <c r="BI36" s="35"/>
      <c r="BJ36" s="35"/>
      <c r="BK36" s="35"/>
      <c r="BL36" s="35"/>
      <c r="BM36" s="35"/>
      <c r="BN36" s="39"/>
    </row>
    <row r="37" spans="2:66" s="13" customFormat="1" ht="9" customHeight="1" x14ac:dyDescent="0.25">
      <c r="B37" s="38"/>
      <c r="C37" s="35"/>
      <c r="D37" s="35"/>
      <c r="E37" s="35"/>
      <c r="F37" s="35"/>
      <c r="G37" s="35"/>
      <c r="H37" s="35"/>
      <c r="I37" s="35"/>
      <c r="J37" s="35"/>
      <c r="K37" s="39"/>
      <c r="L37" s="35"/>
      <c r="M37" s="38"/>
      <c r="N37" s="35"/>
      <c r="O37" s="35"/>
      <c r="P37" s="35"/>
      <c r="Q37" s="35"/>
      <c r="R37" s="35"/>
      <c r="S37" s="35"/>
      <c r="T37" s="35"/>
      <c r="U37" s="35"/>
      <c r="V37" s="39"/>
      <c r="W37" s="35"/>
      <c r="X37" s="38"/>
      <c r="Y37" s="35"/>
      <c r="Z37" s="35"/>
      <c r="AA37" s="35"/>
      <c r="AB37" s="35"/>
      <c r="AC37" s="35"/>
      <c r="AD37" s="35"/>
      <c r="AE37" s="35"/>
      <c r="AF37" s="35"/>
      <c r="AG37" s="39"/>
      <c r="AH37" s="35"/>
      <c r="AI37" s="38"/>
      <c r="AJ37" s="35"/>
      <c r="AK37" s="35"/>
      <c r="AL37" s="35"/>
      <c r="AM37" s="35"/>
      <c r="AN37" s="35"/>
      <c r="AO37" s="35"/>
      <c r="AP37" s="35"/>
      <c r="AQ37" s="35"/>
      <c r="AR37" s="39"/>
      <c r="AS37" s="35"/>
      <c r="AT37" s="38"/>
      <c r="AU37" s="35"/>
      <c r="AV37" s="35"/>
      <c r="AW37" s="35"/>
      <c r="AX37" s="35"/>
      <c r="AY37" s="35"/>
      <c r="AZ37" s="35"/>
      <c r="BA37" s="35"/>
      <c r="BB37" s="35"/>
      <c r="BC37" s="39"/>
      <c r="BD37" s="35"/>
      <c r="BE37" s="38"/>
      <c r="BF37" s="35"/>
      <c r="BG37" s="35"/>
      <c r="BH37" s="35"/>
      <c r="BI37" s="35"/>
      <c r="BJ37" s="35"/>
      <c r="BK37" s="35"/>
      <c r="BL37" s="35"/>
      <c r="BM37" s="35"/>
      <c r="BN37" s="39"/>
    </row>
    <row r="38" spans="2:66" s="13" customFormat="1" ht="9" customHeight="1" x14ac:dyDescent="0.25">
      <c r="B38" s="38"/>
      <c r="C38" s="35"/>
      <c r="D38" s="35"/>
      <c r="E38" s="35"/>
      <c r="F38" s="35"/>
      <c r="G38" s="35"/>
      <c r="H38" s="35"/>
      <c r="I38" s="35"/>
      <c r="J38" s="35"/>
      <c r="K38" s="39"/>
      <c r="L38" s="35"/>
      <c r="M38" s="38"/>
      <c r="N38" s="35"/>
      <c r="O38" s="35"/>
      <c r="P38" s="35"/>
      <c r="Q38" s="35"/>
      <c r="R38" s="35"/>
      <c r="S38" s="35"/>
      <c r="T38" s="35"/>
      <c r="U38" s="35"/>
      <c r="V38" s="39"/>
      <c r="W38" s="35"/>
      <c r="X38" s="38"/>
      <c r="Y38" s="35"/>
      <c r="Z38" s="35"/>
      <c r="AA38" s="35"/>
      <c r="AB38" s="35"/>
      <c r="AC38" s="35"/>
      <c r="AD38" s="35"/>
      <c r="AE38" s="35"/>
      <c r="AF38" s="35"/>
      <c r="AG38" s="39"/>
      <c r="AH38" s="35"/>
      <c r="AI38" s="38"/>
      <c r="AJ38" s="35"/>
      <c r="AK38" s="35"/>
      <c r="AL38" s="35"/>
      <c r="AM38" s="35"/>
      <c r="AN38" s="35"/>
      <c r="AO38" s="35"/>
      <c r="AP38" s="35"/>
      <c r="AQ38" s="35"/>
      <c r="AR38" s="39"/>
      <c r="AS38" s="35"/>
      <c r="AT38" s="38"/>
      <c r="AU38" s="35"/>
      <c r="AV38" s="35"/>
      <c r="AW38" s="35"/>
      <c r="AX38" s="35"/>
      <c r="AY38" s="35"/>
      <c r="AZ38" s="35"/>
      <c r="BA38" s="35"/>
      <c r="BB38" s="35"/>
      <c r="BC38" s="39"/>
      <c r="BD38" s="35"/>
      <c r="BE38" s="38"/>
      <c r="BF38" s="35"/>
      <c r="BG38" s="35"/>
      <c r="BH38" s="35"/>
      <c r="BI38" s="35"/>
      <c r="BJ38" s="35"/>
      <c r="BK38" s="35"/>
      <c r="BL38" s="35"/>
      <c r="BM38" s="35"/>
      <c r="BN38" s="39"/>
    </row>
    <row r="39" spans="2:66" s="13" customFormat="1" ht="9" customHeight="1" x14ac:dyDescent="0.25">
      <c r="B39" s="38"/>
      <c r="C39" s="35"/>
      <c r="D39" s="35"/>
      <c r="E39" s="35"/>
      <c r="F39" s="35"/>
      <c r="G39" s="35"/>
      <c r="H39" s="35"/>
      <c r="I39" s="35"/>
      <c r="J39" s="35"/>
      <c r="K39" s="39"/>
      <c r="L39" s="35"/>
      <c r="M39" s="38"/>
      <c r="N39" s="35"/>
      <c r="O39" s="35"/>
      <c r="P39" s="35"/>
      <c r="Q39" s="35"/>
      <c r="R39" s="35"/>
      <c r="S39" s="35"/>
      <c r="T39" s="35"/>
      <c r="U39" s="35"/>
      <c r="V39" s="39"/>
      <c r="W39" s="35"/>
      <c r="X39" s="38"/>
      <c r="Y39" s="35"/>
      <c r="Z39" s="35"/>
      <c r="AA39" s="35"/>
      <c r="AB39" s="35"/>
      <c r="AC39" s="35"/>
      <c r="AD39" s="35"/>
      <c r="AE39" s="35"/>
      <c r="AF39" s="35"/>
      <c r="AG39" s="39"/>
      <c r="AH39" s="35"/>
      <c r="AI39" s="38"/>
      <c r="AJ39" s="35"/>
      <c r="AK39" s="35"/>
      <c r="AL39" s="35"/>
      <c r="AM39" s="35"/>
      <c r="AN39" s="35"/>
      <c r="AO39" s="35"/>
      <c r="AP39" s="35"/>
      <c r="AQ39" s="35"/>
      <c r="AR39" s="39"/>
      <c r="AS39" s="35"/>
      <c r="AT39" s="38"/>
      <c r="AU39" s="35"/>
      <c r="AV39" s="35"/>
      <c r="AW39" s="35"/>
      <c r="AX39" s="35"/>
      <c r="AY39" s="35"/>
      <c r="AZ39" s="35"/>
      <c r="BA39" s="35"/>
      <c r="BB39" s="35"/>
      <c r="BC39" s="39"/>
      <c r="BD39" s="35"/>
      <c r="BE39" s="38"/>
      <c r="BF39" s="35"/>
      <c r="BG39" s="35"/>
      <c r="BH39" s="35"/>
      <c r="BI39" s="35"/>
      <c r="BJ39" s="35"/>
      <c r="BK39" s="35"/>
      <c r="BL39" s="35"/>
      <c r="BM39" s="35"/>
      <c r="BN39" s="39"/>
    </row>
    <row r="40" spans="2:66" s="13" customFormat="1" ht="9" customHeight="1" x14ac:dyDescent="0.25">
      <c r="B40" s="38"/>
      <c r="C40" s="35"/>
      <c r="D40" s="35"/>
      <c r="E40" s="35"/>
      <c r="F40" s="35"/>
      <c r="G40" s="35"/>
      <c r="H40" s="35"/>
      <c r="I40" s="35"/>
      <c r="J40" s="35"/>
      <c r="K40" s="39"/>
      <c r="L40" s="35"/>
      <c r="M40" s="38"/>
      <c r="N40" s="35"/>
      <c r="O40" s="35"/>
      <c r="P40" s="35"/>
      <c r="Q40" s="35"/>
      <c r="R40" s="35"/>
      <c r="S40" s="35"/>
      <c r="T40" s="35"/>
      <c r="U40" s="35"/>
      <c r="V40" s="39"/>
      <c r="W40" s="35"/>
      <c r="X40" s="38"/>
      <c r="Y40" s="35"/>
      <c r="Z40" s="35"/>
      <c r="AA40" s="35"/>
      <c r="AB40" s="35"/>
      <c r="AC40" s="35"/>
      <c r="AD40" s="35"/>
      <c r="AE40" s="35"/>
      <c r="AF40" s="35"/>
      <c r="AG40" s="39"/>
      <c r="AH40" s="35"/>
      <c r="AI40" s="38"/>
      <c r="AJ40" s="35"/>
      <c r="AK40" s="35"/>
      <c r="AL40" s="35"/>
      <c r="AM40" s="35"/>
      <c r="AN40" s="35"/>
      <c r="AO40" s="35"/>
      <c r="AP40" s="35"/>
      <c r="AQ40" s="35"/>
      <c r="AR40" s="39"/>
      <c r="AS40" s="35"/>
      <c r="AT40" s="38"/>
      <c r="AU40" s="35"/>
      <c r="AV40" s="35"/>
      <c r="AW40" s="35"/>
      <c r="AX40" s="35"/>
      <c r="AY40" s="35"/>
      <c r="AZ40" s="35"/>
      <c r="BA40" s="35"/>
      <c r="BB40" s="35"/>
      <c r="BC40" s="39"/>
      <c r="BD40" s="35"/>
      <c r="BE40" s="38"/>
      <c r="BF40" s="35"/>
      <c r="BG40" s="35"/>
      <c r="BH40" s="35"/>
      <c r="BI40" s="35"/>
      <c r="BJ40" s="35"/>
      <c r="BK40" s="35"/>
      <c r="BL40" s="35"/>
      <c r="BM40" s="35"/>
      <c r="BN40" s="39"/>
    </row>
    <row r="41" spans="2:66" s="13" customFormat="1" ht="9" customHeight="1" x14ac:dyDescent="0.25">
      <c r="B41" s="38"/>
      <c r="C41" s="35"/>
      <c r="D41" s="35"/>
      <c r="E41" s="35"/>
      <c r="F41" s="35"/>
      <c r="G41" s="35"/>
      <c r="H41" s="35"/>
      <c r="I41" s="35"/>
      <c r="J41" s="35"/>
      <c r="K41" s="39"/>
      <c r="L41" s="35"/>
      <c r="M41" s="38"/>
      <c r="N41" s="35"/>
      <c r="O41" s="35"/>
      <c r="P41" s="35"/>
      <c r="Q41" s="35"/>
      <c r="R41" s="35"/>
      <c r="S41" s="35"/>
      <c r="T41" s="35"/>
      <c r="U41" s="35"/>
      <c r="V41" s="39"/>
      <c r="W41" s="35"/>
      <c r="X41" s="38"/>
      <c r="Y41" s="35"/>
      <c r="Z41" s="35"/>
      <c r="AA41" s="35"/>
      <c r="AB41" s="35"/>
      <c r="AC41" s="35"/>
      <c r="AD41" s="35"/>
      <c r="AE41" s="35"/>
      <c r="AF41" s="35"/>
      <c r="AG41" s="39"/>
      <c r="AH41" s="35"/>
      <c r="AI41" s="38"/>
      <c r="AJ41" s="35"/>
      <c r="AK41" s="35"/>
      <c r="AL41" s="35"/>
      <c r="AM41" s="35"/>
      <c r="AN41" s="35"/>
      <c r="AO41" s="35"/>
      <c r="AP41" s="35"/>
      <c r="AQ41" s="35"/>
      <c r="AR41" s="39"/>
      <c r="AS41" s="35"/>
      <c r="AT41" s="38"/>
      <c r="AU41" s="35"/>
      <c r="AV41" s="35"/>
      <c r="AW41" s="35"/>
      <c r="AX41" s="35"/>
      <c r="AY41" s="35"/>
      <c r="AZ41" s="35"/>
      <c r="BA41" s="35"/>
      <c r="BB41" s="35"/>
      <c r="BC41" s="39"/>
      <c r="BD41" s="35"/>
      <c r="BE41" s="38"/>
      <c r="BF41" s="35"/>
      <c r="BG41" s="35"/>
      <c r="BH41" s="35"/>
      <c r="BI41" s="35"/>
      <c r="BJ41" s="35"/>
      <c r="BK41" s="35"/>
      <c r="BL41" s="35"/>
      <c r="BM41" s="35"/>
      <c r="BN41" s="39"/>
    </row>
    <row r="42" spans="2:66" s="13" customFormat="1" ht="9" customHeight="1" x14ac:dyDescent="0.25">
      <c r="B42" s="38"/>
      <c r="C42" s="35"/>
      <c r="D42" s="35"/>
      <c r="E42" s="35"/>
      <c r="F42" s="35"/>
      <c r="G42" s="35"/>
      <c r="H42" s="35"/>
      <c r="I42" s="35"/>
      <c r="J42" s="35"/>
      <c r="K42" s="39"/>
      <c r="L42" s="35"/>
      <c r="M42" s="38"/>
      <c r="N42" s="35"/>
      <c r="O42" s="35"/>
      <c r="P42" s="35"/>
      <c r="Q42" s="35"/>
      <c r="R42" s="35"/>
      <c r="S42" s="35"/>
      <c r="T42" s="35"/>
      <c r="U42" s="35"/>
      <c r="V42" s="39"/>
      <c r="W42" s="35"/>
      <c r="X42" s="38"/>
      <c r="Y42" s="35"/>
      <c r="Z42" s="35"/>
      <c r="AA42" s="35"/>
      <c r="AB42" s="35"/>
      <c r="AC42" s="35"/>
      <c r="AD42" s="35"/>
      <c r="AE42" s="35"/>
      <c r="AF42" s="35"/>
      <c r="AG42" s="39"/>
      <c r="AH42" s="35"/>
      <c r="AI42" s="38"/>
      <c r="AJ42" s="35"/>
      <c r="AK42" s="35"/>
      <c r="AL42" s="35"/>
      <c r="AM42" s="35"/>
      <c r="AN42" s="35"/>
      <c r="AO42" s="35"/>
      <c r="AP42" s="35"/>
      <c r="AQ42" s="35"/>
      <c r="AR42" s="39"/>
      <c r="AS42" s="35"/>
      <c r="AT42" s="38"/>
      <c r="AU42" s="35"/>
      <c r="AV42" s="35"/>
      <c r="AW42" s="35"/>
      <c r="AX42" s="35"/>
      <c r="AY42" s="35"/>
      <c r="AZ42" s="35"/>
      <c r="BA42" s="35"/>
      <c r="BB42" s="35"/>
      <c r="BC42" s="39"/>
      <c r="BD42" s="35"/>
      <c r="BE42" s="38"/>
      <c r="BF42" s="35"/>
      <c r="BG42" s="35"/>
      <c r="BH42" s="35"/>
      <c r="BI42" s="35"/>
      <c r="BJ42" s="35"/>
      <c r="BK42" s="35"/>
      <c r="BL42" s="35"/>
      <c r="BM42" s="35"/>
      <c r="BN42" s="39"/>
    </row>
    <row r="43" spans="2:66" s="13" customFormat="1" ht="9" customHeight="1" x14ac:dyDescent="0.25">
      <c r="B43" s="38"/>
      <c r="C43" s="35"/>
      <c r="D43" s="35"/>
      <c r="E43" s="35"/>
      <c r="F43" s="35"/>
      <c r="G43" s="35"/>
      <c r="H43" s="35"/>
      <c r="I43" s="35"/>
      <c r="J43" s="35"/>
      <c r="K43" s="39"/>
      <c r="L43" s="35"/>
      <c r="M43" s="38"/>
      <c r="N43" s="35"/>
      <c r="O43" s="35"/>
      <c r="P43" s="35"/>
      <c r="Q43" s="35"/>
      <c r="R43" s="35"/>
      <c r="S43" s="35"/>
      <c r="T43" s="35"/>
      <c r="U43" s="35"/>
      <c r="V43" s="39"/>
      <c r="W43" s="35"/>
      <c r="X43" s="38"/>
      <c r="Y43" s="35"/>
      <c r="Z43" s="35"/>
      <c r="AA43" s="35"/>
      <c r="AB43" s="35"/>
      <c r="AC43" s="35"/>
      <c r="AD43" s="35"/>
      <c r="AE43" s="35"/>
      <c r="AF43" s="35"/>
      <c r="AG43" s="39"/>
      <c r="AH43" s="35"/>
      <c r="AI43" s="38"/>
      <c r="AJ43" s="35"/>
      <c r="AK43" s="35"/>
      <c r="AL43" s="35"/>
      <c r="AM43" s="35"/>
      <c r="AN43" s="35"/>
      <c r="AO43" s="35"/>
      <c r="AP43" s="35"/>
      <c r="AQ43" s="35"/>
      <c r="AR43" s="39"/>
      <c r="AS43" s="35"/>
      <c r="AT43" s="38"/>
      <c r="AU43" s="35"/>
      <c r="AV43" s="35"/>
      <c r="AW43" s="35"/>
      <c r="AX43" s="35"/>
      <c r="AY43" s="35"/>
      <c r="AZ43" s="35"/>
      <c r="BA43" s="35"/>
      <c r="BB43" s="35"/>
      <c r="BC43" s="39"/>
      <c r="BD43" s="35"/>
      <c r="BE43" s="38"/>
      <c r="BF43" s="35"/>
      <c r="BG43" s="35"/>
      <c r="BH43" s="35"/>
      <c r="BI43" s="35"/>
      <c r="BJ43" s="35"/>
      <c r="BK43" s="35"/>
      <c r="BL43" s="35"/>
      <c r="BM43" s="35"/>
      <c r="BN43" s="39"/>
    </row>
    <row r="44" spans="2:66" s="13" customFormat="1" ht="9" customHeight="1" x14ac:dyDescent="0.25">
      <c r="B44" s="38" t="s">
        <v>57</v>
      </c>
      <c r="C44" s="35"/>
      <c r="D44" s="35"/>
      <c r="E44" s="35"/>
      <c r="F44" s="35"/>
      <c r="G44" s="35"/>
      <c r="H44" s="35"/>
      <c r="I44" s="35"/>
      <c r="J44" s="35"/>
      <c r="K44" s="39"/>
      <c r="L44" s="35"/>
      <c r="M44" s="38"/>
      <c r="N44" s="35"/>
      <c r="O44" s="35"/>
      <c r="P44" s="35"/>
      <c r="Q44" s="35"/>
      <c r="R44" s="35"/>
      <c r="S44" s="35"/>
      <c r="T44" s="35"/>
      <c r="U44" s="35"/>
      <c r="V44" s="39"/>
      <c r="W44" s="35"/>
      <c r="X44" s="354" t="s">
        <v>179</v>
      </c>
      <c r="Y44" s="344"/>
      <c r="Z44" s="344"/>
      <c r="AA44" s="344"/>
      <c r="AB44" s="344"/>
      <c r="AC44" s="344"/>
      <c r="AD44" s="344"/>
      <c r="AE44" s="344"/>
      <c r="AF44" s="344"/>
      <c r="AG44" s="355"/>
      <c r="AH44" s="35"/>
      <c r="AI44" s="354" t="s">
        <v>179</v>
      </c>
      <c r="AJ44" s="344"/>
      <c r="AK44" s="344"/>
      <c r="AL44" s="344"/>
      <c r="AM44" s="344"/>
      <c r="AN44" s="344"/>
      <c r="AO44" s="344"/>
      <c r="AP44" s="344"/>
      <c r="AQ44" s="344"/>
      <c r="AR44" s="355"/>
      <c r="AS44" s="35"/>
      <c r="AT44" s="38"/>
      <c r="AU44" s="35"/>
      <c r="AV44" s="35"/>
      <c r="AW44" s="35"/>
      <c r="AX44" s="35"/>
      <c r="AY44" s="35"/>
      <c r="AZ44" s="35"/>
      <c r="BA44" s="35"/>
      <c r="BB44" s="35"/>
      <c r="BC44" s="39"/>
      <c r="BD44" s="35"/>
      <c r="BE44" s="38"/>
      <c r="BF44" s="35"/>
      <c r="BG44" s="35"/>
      <c r="BH44" s="35"/>
      <c r="BI44" s="35"/>
      <c r="BJ44" s="35"/>
      <c r="BK44" s="35"/>
      <c r="BL44" s="35"/>
      <c r="BM44" s="35"/>
      <c r="BN44" s="39"/>
    </row>
    <row r="45" spans="2:66" s="13" customFormat="1" ht="9" customHeight="1" x14ac:dyDescent="0.25">
      <c r="B45" s="308" t="s">
        <v>180</v>
      </c>
      <c r="C45" s="308"/>
      <c r="D45" s="308"/>
      <c r="E45" s="308"/>
      <c r="F45" s="308"/>
      <c r="G45" s="308"/>
      <c r="H45" s="309">
        <f>CEILING(19303*B3,1)</f>
        <v>36676</v>
      </c>
      <c r="I45" s="309"/>
      <c r="J45" s="309"/>
      <c r="K45" s="309"/>
      <c r="L45" s="2"/>
      <c r="M45" s="308" t="s">
        <v>180</v>
      </c>
      <c r="N45" s="308"/>
      <c r="O45" s="308"/>
      <c r="P45" s="308"/>
      <c r="Q45" s="308"/>
      <c r="R45" s="308"/>
      <c r="S45" s="309">
        <f>CEILING(12764*B3,1)</f>
        <v>24252</v>
      </c>
      <c r="T45" s="309"/>
      <c r="U45" s="309"/>
      <c r="V45" s="309"/>
      <c r="W45" s="2"/>
      <c r="X45" s="308" t="s">
        <v>181</v>
      </c>
      <c r="Y45" s="308"/>
      <c r="Z45" s="308"/>
      <c r="AA45" s="308"/>
      <c r="AB45" s="308"/>
      <c r="AC45" s="308"/>
      <c r="AD45" s="309">
        <f>CEILING(19093*B3,1)</f>
        <v>36277</v>
      </c>
      <c r="AE45" s="309"/>
      <c r="AF45" s="309"/>
      <c r="AG45" s="309"/>
      <c r="AH45" s="2"/>
      <c r="AI45" s="308" t="s">
        <v>181</v>
      </c>
      <c r="AJ45" s="308"/>
      <c r="AK45" s="308"/>
      <c r="AL45" s="308"/>
      <c r="AM45" s="308"/>
      <c r="AN45" s="308"/>
      <c r="AO45" s="309">
        <f>CEILING(20712*B3,1)</f>
        <v>39353</v>
      </c>
      <c r="AP45" s="309"/>
      <c r="AQ45" s="309"/>
      <c r="AR45" s="309"/>
      <c r="AS45" s="2"/>
      <c r="AT45" s="308" t="s">
        <v>182</v>
      </c>
      <c r="AU45" s="308"/>
      <c r="AV45" s="308"/>
      <c r="AW45" s="308"/>
      <c r="AX45" s="308"/>
      <c r="AY45" s="308"/>
      <c r="AZ45" s="309">
        <f>CEILING(1902*B3,1)</f>
        <v>3614</v>
      </c>
      <c r="BA45" s="309"/>
      <c r="BB45" s="309"/>
      <c r="BC45" s="309"/>
      <c r="BD45" s="2"/>
      <c r="BE45" s="308" t="s">
        <v>183</v>
      </c>
      <c r="BF45" s="308"/>
      <c r="BG45" s="308"/>
      <c r="BH45" s="308"/>
      <c r="BI45" s="308"/>
      <c r="BJ45" s="308"/>
      <c r="BK45" s="309">
        <f>CEILING(1278*B3,1)</f>
        <v>2429</v>
      </c>
      <c r="BL45" s="309"/>
      <c r="BM45" s="309"/>
      <c r="BN45" s="309"/>
    </row>
    <row r="46" spans="2:66" s="13" customFormat="1" ht="2.1" customHeight="1" x14ac:dyDescent="0.2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spans="2:66" s="13" customFormat="1" ht="9" customHeight="1" x14ac:dyDescent="0.25">
      <c r="B47" s="321" t="s">
        <v>184</v>
      </c>
      <c r="C47" s="322"/>
      <c r="D47" s="323"/>
      <c r="E47" s="324" t="s">
        <v>185</v>
      </c>
      <c r="F47" s="325"/>
      <c r="G47" s="325"/>
      <c r="H47" s="325"/>
      <c r="I47" s="325"/>
      <c r="J47" s="325"/>
      <c r="K47" s="326"/>
      <c r="L47" s="35"/>
      <c r="M47" s="321" t="s">
        <v>186</v>
      </c>
      <c r="N47" s="322"/>
      <c r="O47" s="323"/>
      <c r="P47" s="324" t="s">
        <v>187</v>
      </c>
      <c r="Q47" s="325"/>
      <c r="R47" s="325"/>
      <c r="S47" s="325"/>
      <c r="T47" s="325"/>
      <c r="U47" s="325"/>
      <c r="V47" s="326"/>
      <c r="W47" s="35"/>
      <c r="X47" s="321" t="s">
        <v>188</v>
      </c>
      <c r="Y47" s="322"/>
      <c r="Z47" s="323"/>
      <c r="AA47" s="324" t="s">
        <v>187</v>
      </c>
      <c r="AB47" s="325"/>
      <c r="AC47" s="325"/>
      <c r="AD47" s="325"/>
      <c r="AE47" s="325"/>
      <c r="AF47" s="325"/>
      <c r="AG47" s="326"/>
      <c r="AH47" s="35"/>
      <c r="AI47" s="321" t="s">
        <v>189</v>
      </c>
      <c r="AJ47" s="322"/>
      <c r="AK47" s="323"/>
      <c r="AL47" s="324" t="s">
        <v>190</v>
      </c>
      <c r="AM47" s="325"/>
      <c r="AN47" s="325"/>
      <c r="AO47" s="325"/>
      <c r="AP47" s="325"/>
      <c r="AQ47" s="325"/>
      <c r="AR47" s="326"/>
      <c r="AS47" s="35"/>
      <c r="AT47" s="321" t="s">
        <v>191</v>
      </c>
      <c r="AU47" s="322"/>
      <c r="AV47" s="323"/>
      <c r="AW47" s="324" t="s">
        <v>190</v>
      </c>
      <c r="AX47" s="325"/>
      <c r="AY47" s="325"/>
      <c r="AZ47" s="325"/>
      <c r="BA47" s="325"/>
      <c r="BB47" s="325"/>
      <c r="BC47" s="326"/>
      <c r="BD47" s="35"/>
      <c r="BE47" s="321" t="s">
        <v>192</v>
      </c>
      <c r="BF47" s="322"/>
      <c r="BG47" s="323"/>
      <c r="BH47" s="324" t="s">
        <v>193</v>
      </c>
      <c r="BI47" s="325"/>
      <c r="BJ47" s="325"/>
      <c r="BK47" s="325"/>
      <c r="BL47" s="325"/>
      <c r="BM47" s="325"/>
      <c r="BN47" s="326"/>
    </row>
    <row r="48" spans="2:66" s="13" customFormat="1" ht="9" customHeight="1" x14ac:dyDescent="0.25">
      <c r="B48" s="312" t="s">
        <v>194</v>
      </c>
      <c r="C48" s="313"/>
      <c r="D48" s="313"/>
      <c r="E48" s="313"/>
      <c r="F48" s="313"/>
      <c r="G48" s="313"/>
      <c r="H48" s="313"/>
      <c r="I48" s="313"/>
      <c r="J48" s="313"/>
      <c r="K48" s="314"/>
      <c r="L48" s="35"/>
      <c r="M48" s="312" t="s">
        <v>195</v>
      </c>
      <c r="N48" s="313"/>
      <c r="O48" s="313"/>
      <c r="P48" s="313"/>
      <c r="Q48" s="313"/>
      <c r="R48" s="313"/>
      <c r="S48" s="313"/>
      <c r="T48" s="313"/>
      <c r="U48" s="313"/>
      <c r="V48" s="314"/>
      <c r="W48" s="35"/>
      <c r="X48" s="312" t="s">
        <v>196</v>
      </c>
      <c r="Y48" s="313"/>
      <c r="Z48" s="313"/>
      <c r="AA48" s="313"/>
      <c r="AB48" s="313"/>
      <c r="AC48" s="313"/>
      <c r="AD48" s="313"/>
      <c r="AE48" s="313"/>
      <c r="AF48" s="313"/>
      <c r="AG48" s="314"/>
      <c r="AH48" s="35"/>
      <c r="AI48" s="312" t="s">
        <v>197</v>
      </c>
      <c r="AJ48" s="313"/>
      <c r="AK48" s="313"/>
      <c r="AL48" s="313"/>
      <c r="AM48" s="313"/>
      <c r="AN48" s="313"/>
      <c r="AO48" s="313"/>
      <c r="AP48" s="313"/>
      <c r="AQ48" s="313"/>
      <c r="AR48" s="314"/>
      <c r="AS48" s="35"/>
      <c r="AT48" s="312" t="s">
        <v>198</v>
      </c>
      <c r="AU48" s="313"/>
      <c r="AV48" s="313"/>
      <c r="AW48" s="313"/>
      <c r="AX48" s="313"/>
      <c r="AY48" s="313"/>
      <c r="AZ48" s="313"/>
      <c r="BA48" s="313"/>
      <c r="BB48" s="313"/>
      <c r="BC48" s="314"/>
      <c r="BD48" s="35"/>
      <c r="BE48" s="312" t="s">
        <v>199</v>
      </c>
      <c r="BF48" s="313"/>
      <c r="BG48" s="313"/>
      <c r="BH48" s="313"/>
      <c r="BI48" s="313"/>
      <c r="BJ48" s="313"/>
      <c r="BK48" s="313"/>
      <c r="BL48" s="313"/>
      <c r="BM48" s="313"/>
      <c r="BN48" s="314"/>
    </row>
    <row r="49" spans="2:66" s="13" customFormat="1" ht="9" customHeight="1" x14ac:dyDescent="0.25">
      <c r="B49" s="38"/>
      <c r="C49" s="35"/>
      <c r="D49" s="35"/>
      <c r="E49" s="35"/>
      <c r="F49" s="35"/>
      <c r="G49" s="35"/>
      <c r="H49" s="35"/>
      <c r="I49" s="35"/>
      <c r="J49" s="35"/>
      <c r="K49" s="39"/>
      <c r="L49" s="35"/>
      <c r="M49" s="38"/>
      <c r="N49" s="35"/>
      <c r="O49" s="35"/>
      <c r="P49" s="35"/>
      <c r="Q49" s="35"/>
      <c r="R49" s="35"/>
      <c r="S49" s="35"/>
      <c r="T49" s="35"/>
      <c r="U49" s="35"/>
      <c r="V49" s="39"/>
      <c r="W49" s="35"/>
      <c r="X49" s="38"/>
      <c r="Y49" s="35"/>
      <c r="Z49" s="35"/>
      <c r="AA49" s="35"/>
      <c r="AB49" s="35"/>
      <c r="AC49" s="35"/>
      <c r="AD49" s="35"/>
      <c r="AE49" s="35"/>
      <c r="AF49" s="35"/>
      <c r="AG49" s="39"/>
      <c r="AH49" s="35"/>
      <c r="AI49" s="38"/>
      <c r="AJ49" s="35"/>
      <c r="AK49" s="35"/>
      <c r="AL49" s="35"/>
      <c r="AM49" s="35"/>
      <c r="AN49" s="35"/>
      <c r="AO49" s="35"/>
      <c r="AP49" s="35"/>
      <c r="AQ49" s="35"/>
      <c r="AR49" s="39"/>
      <c r="AS49" s="35"/>
      <c r="AT49" s="38"/>
      <c r="AU49" s="35"/>
      <c r="AV49" s="35"/>
      <c r="AW49" s="35"/>
      <c r="AX49" s="35"/>
      <c r="AY49" s="35"/>
      <c r="AZ49" s="35"/>
      <c r="BA49" s="35"/>
      <c r="BB49" s="35"/>
      <c r="BC49" s="39"/>
      <c r="BD49" s="35"/>
      <c r="BE49" s="38"/>
      <c r="BF49" s="35"/>
      <c r="BG49" s="35"/>
      <c r="BH49" s="35"/>
      <c r="BI49" s="35"/>
      <c r="BJ49" s="35"/>
      <c r="BK49" s="35"/>
      <c r="BL49" s="35"/>
      <c r="BM49" s="35"/>
      <c r="BN49" s="39"/>
    </row>
    <row r="50" spans="2:66" s="13" customFormat="1" ht="9" customHeight="1" x14ac:dyDescent="0.25">
      <c r="B50" s="38"/>
      <c r="C50" s="35"/>
      <c r="D50" s="35"/>
      <c r="E50" s="35"/>
      <c r="F50" s="35"/>
      <c r="G50" s="35"/>
      <c r="H50" s="35"/>
      <c r="I50" s="35"/>
      <c r="J50" s="35"/>
      <c r="K50" s="39"/>
      <c r="L50" s="35"/>
      <c r="M50" s="38"/>
      <c r="N50" s="35"/>
      <c r="O50" s="35"/>
      <c r="P50" s="35"/>
      <c r="Q50" s="35"/>
      <c r="R50" s="35"/>
      <c r="S50" s="35"/>
      <c r="T50" s="35"/>
      <c r="U50" s="35"/>
      <c r="V50" s="39"/>
      <c r="W50" s="35"/>
      <c r="X50" s="38"/>
      <c r="Y50" s="35"/>
      <c r="Z50" s="35"/>
      <c r="AA50" s="35"/>
      <c r="AB50" s="35"/>
      <c r="AC50" s="35"/>
      <c r="AD50" s="35"/>
      <c r="AE50" s="35"/>
      <c r="AF50" s="35"/>
      <c r="AG50" s="39"/>
      <c r="AH50" s="35"/>
      <c r="AI50" s="38"/>
      <c r="AJ50" s="35"/>
      <c r="AK50" s="35"/>
      <c r="AL50" s="35"/>
      <c r="AM50" s="35"/>
      <c r="AN50" s="35"/>
      <c r="AO50" s="35"/>
      <c r="AP50" s="35"/>
      <c r="AQ50" s="35"/>
      <c r="AR50" s="39"/>
      <c r="AS50" s="35"/>
      <c r="AT50" s="38"/>
      <c r="AU50" s="35"/>
      <c r="AV50" s="35"/>
      <c r="AW50" s="35"/>
      <c r="AX50" s="35"/>
      <c r="AY50" s="35"/>
      <c r="AZ50" s="35"/>
      <c r="BA50" s="35"/>
      <c r="BB50" s="35"/>
      <c r="BC50" s="39"/>
      <c r="BD50" s="35"/>
      <c r="BE50" s="38"/>
      <c r="BF50" s="35"/>
      <c r="BG50" s="35"/>
      <c r="BH50" s="35"/>
      <c r="BI50" s="35"/>
      <c r="BJ50" s="35"/>
      <c r="BK50" s="35"/>
      <c r="BL50" s="35"/>
      <c r="BM50" s="35"/>
      <c r="BN50" s="39"/>
    </row>
    <row r="51" spans="2:66" s="13" customFormat="1" ht="9" customHeight="1" x14ac:dyDescent="0.25">
      <c r="B51" s="38"/>
      <c r="C51" s="35"/>
      <c r="D51" s="35"/>
      <c r="E51" s="35"/>
      <c r="F51" s="35"/>
      <c r="G51" s="35"/>
      <c r="H51" s="35"/>
      <c r="I51" s="35"/>
      <c r="J51" s="35"/>
      <c r="K51" s="39"/>
      <c r="L51" s="35"/>
      <c r="M51" s="38"/>
      <c r="N51" s="35"/>
      <c r="O51" s="35"/>
      <c r="P51" s="35"/>
      <c r="Q51" s="35"/>
      <c r="R51" s="35"/>
      <c r="S51" s="35"/>
      <c r="T51" s="35"/>
      <c r="U51" s="35"/>
      <c r="V51" s="39"/>
      <c r="W51" s="35"/>
      <c r="X51" s="38"/>
      <c r="Y51" s="35"/>
      <c r="Z51" s="35"/>
      <c r="AA51" s="35"/>
      <c r="AB51" s="35"/>
      <c r="AC51" s="35"/>
      <c r="AD51" s="35"/>
      <c r="AE51" s="35"/>
      <c r="AF51" s="35"/>
      <c r="AG51" s="39"/>
      <c r="AH51" s="35"/>
      <c r="AI51" s="38"/>
      <c r="AJ51" s="35"/>
      <c r="AK51" s="35"/>
      <c r="AL51" s="35"/>
      <c r="AM51" s="35"/>
      <c r="AN51" s="35"/>
      <c r="AO51" s="35"/>
      <c r="AP51" s="35"/>
      <c r="AQ51" s="35"/>
      <c r="AR51" s="39"/>
      <c r="AS51" s="35"/>
      <c r="AT51" s="38"/>
      <c r="AU51" s="35"/>
      <c r="AV51" s="35"/>
      <c r="AW51" s="35"/>
      <c r="AX51" s="35"/>
      <c r="AY51" s="35"/>
      <c r="AZ51" s="35"/>
      <c r="BA51" s="35"/>
      <c r="BB51" s="35"/>
      <c r="BC51" s="39"/>
      <c r="BD51" s="35"/>
      <c r="BE51" s="38"/>
      <c r="BF51" s="35"/>
      <c r="BG51" s="35"/>
      <c r="BH51" s="35"/>
      <c r="BI51" s="35"/>
      <c r="BJ51" s="35"/>
      <c r="BK51" s="35"/>
      <c r="BL51" s="35"/>
      <c r="BM51" s="35"/>
      <c r="BN51" s="39"/>
    </row>
    <row r="52" spans="2:66" s="13" customFormat="1" ht="9" customHeight="1" x14ac:dyDescent="0.25">
      <c r="B52" s="38"/>
      <c r="C52" s="35"/>
      <c r="D52" s="35"/>
      <c r="E52" s="35"/>
      <c r="F52" s="35"/>
      <c r="G52" s="35"/>
      <c r="H52" s="35"/>
      <c r="I52" s="35"/>
      <c r="J52" s="35"/>
      <c r="K52" s="39"/>
      <c r="L52" s="35"/>
      <c r="M52" s="38"/>
      <c r="N52" s="35"/>
      <c r="O52" s="35"/>
      <c r="P52" s="35"/>
      <c r="Q52" s="35"/>
      <c r="R52" s="35"/>
      <c r="S52" s="35"/>
      <c r="T52" s="35"/>
      <c r="U52" s="35"/>
      <c r="V52" s="39"/>
      <c r="W52" s="35"/>
      <c r="X52" s="38"/>
      <c r="Y52" s="35"/>
      <c r="Z52" s="35"/>
      <c r="AA52" s="35"/>
      <c r="AB52" s="35"/>
      <c r="AC52" s="35"/>
      <c r="AD52" s="35"/>
      <c r="AE52" s="35"/>
      <c r="AF52" s="35"/>
      <c r="AG52" s="39"/>
      <c r="AH52" s="35"/>
      <c r="AI52" s="38"/>
      <c r="AJ52" s="35"/>
      <c r="AK52" s="35"/>
      <c r="AL52" s="35"/>
      <c r="AM52" s="35"/>
      <c r="AN52" s="35"/>
      <c r="AO52" s="35"/>
      <c r="AP52" s="35"/>
      <c r="AQ52" s="35"/>
      <c r="AR52" s="39"/>
      <c r="AS52" s="35"/>
      <c r="AT52" s="38"/>
      <c r="AU52" s="35"/>
      <c r="AV52" s="35"/>
      <c r="AW52" s="35"/>
      <c r="AX52" s="35"/>
      <c r="AY52" s="35"/>
      <c r="AZ52" s="35"/>
      <c r="BA52" s="35"/>
      <c r="BB52" s="35"/>
      <c r="BC52" s="39"/>
      <c r="BD52" s="35"/>
      <c r="BE52" s="38"/>
      <c r="BF52" s="35"/>
      <c r="BG52" s="35"/>
      <c r="BH52" s="35"/>
      <c r="BI52" s="35"/>
      <c r="BJ52" s="35"/>
      <c r="BK52" s="35"/>
      <c r="BL52" s="35"/>
      <c r="BM52" s="35"/>
      <c r="BN52" s="39"/>
    </row>
    <row r="53" spans="2:66" s="13" customFormat="1" ht="9" customHeight="1" x14ac:dyDescent="0.25">
      <c r="B53" s="38"/>
      <c r="C53" s="35"/>
      <c r="D53" s="35"/>
      <c r="E53" s="35"/>
      <c r="F53" s="35"/>
      <c r="G53" s="35"/>
      <c r="H53" s="35"/>
      <c r="I53" s="35"/>
      <c r="J53" s="35"/>
      <c r="K53" s="39"/>
      <c r="L53" s="35"/>
      <c r="M53" s="38"/>
      <c r="N53" s="35"/>
      <c r="O53" s="35"/>
      <c r="P53" s="35"/>
      <c r="Q53" s="35"/>
      <c r="R53" s="35"/>
      <c r="S53" s="35"/>
      <c r="T53" s="35"/>
      <c r="U53" s="35"/>
      <c r="V53" s="39"/>
      <c r="W53" s="35"/>
      <c r="X53" s="38"/>
      <c r="Y53" s="35"/>
      <c r="Z53" s="35"/>
      <c r="AA53" s="35"/>
      <c r="AB53" s="35"/>
      <c r="AC53" s="35"/>
      <c r="AD53" s="35"/>
      <c r="AE53" s="35"/>
      <c r="AF53" s="35"/>
      <c r="AG53" s="39"/>
      <c r="AH53" s="35"/>
      <c r="AI53" s="38"/>
      <c r="AJ53" s="35"/>
      <c r="AK53" s="35"/>
      <c r="AL53" s="35"/>
      <c r="AM53" s="35"/>
      <c r="AN53" s="35"/>
      <c r="AO53" s="35"/>
      <c r="AP53" s="35"/>
      <c r="AQ53" s="35"/>
      <c r="AR53" s="39"/>
      <c r="AS53" s="35"/>
      <c r="AT53" s="38"/>
      <c r="AU53" s="35"/>
      <c r="AV53" s="35"/>
      <c r="AW53" s="35"/>
      <c r="AX53" s="35"/>
      <c r="AY53" s="35"/>
      <c r="AZ53" s="35"/>
      <c r="BA53" s="35"/>
      <c r="BB53" s="35"/>
      <c r="BC53" s="39"/>
      <c r="BD53" s="35"/>
      <c r="BE53" s="38"/>
      <c r="BF53" s="35"/>
      <c r="BG53" s="35"/>
      <c r="BH53" s="35"/>
      <c r="BI53" s="35"/>
      <c r="BJ53" s="35"/>
      <c r="BK53" s="35"/>
      <c r="BL53" s="35"/>
      <c r="BM53" s="35"/>
      <c r="BN53" s="39"/>
    </row>
    <row r="54" spans="2:66" s="13" customFormat="1" ht="9" customHeight="1" x14ac:dyDescent="0.25">
      <c r="B54" s="38"/>
      <c r="C54" s="35"/>
      <c r="D54" s="35"/>
      <c r="E54" s="35"/>
      <c r="F54" s="35"/>
      <c r="G54" s="35"/>
      <c r="H54" s="35"/>
      <c r="I54" s="35"/>
      <c r="J54" s="35"/>
      <c r="K54" s="39"/>
      <c r="L54" s="35"/>
      <c r="M54" s="38"/>
      <c r="N54" s="35"/>
      <c r="O54" s="35"/>
      <c r="P54" s="35"/>
      <c r="Q54" s="35"/>
      <c r="R54" s="35"/>
      <c r="S54" s="35"/>
      <c r="T54" s="35"/>
      <c r="U54" s="35"/>
      <c r="V54" s="39"/>
      <c r="W54" s="35"/>
      <c r="X54" s="38"/>
      <c r="Y54" s="35"/>
      <c r="Z54" s="35"/>
      <c r="AA54" s="35"/>
      <c r="AB54" s="35"/>
      <c r="AC54" s="35"/>
      <c r="AD54" s="35"/>
      <c r="AE54" s="35"/>
      <c r="AF54" s="35"/>
      <c r="AG54" s="39"/>
      <c r="AH54" s="35"/>
      <c r="AI54" s="38"/>
      <c r="AJ54" s="35"/>
      <c r="AK54" s="35"/>
      <c r="AL54" s="35"/>
      <c r="AM54" s="35"/>
      <c r="AN54" s="35"/>
      <c r="AO54" s="35"/>
      <c r="AP54" s="35"/>
      <c r="AQ54" s="35"/>
      <c r="AR54" s="39"/>
      <c r="AS54" s="35"/>
      <c r="AT54" s="38"/>
      <c r="AU54" s="35"/>
      <c r="AV54" s="35"/>
      <c r="AW54" s="35"/>
      <c r="AX54" s="35"/>
      <c r="AY54" s="35"/>
      <c r="AZ54" s="35"/>
      <c r="BA54" s="35"/>
      <c r="BB54" s="35"/>
      <c r="BC54" s="39"/>
      <c r="BD54" s="35"/>
      <c r="BE54" s="38"/>
      <c r="BF54" s="35"/>
      <c r="BG54" s="35"/>
      <c r="BH54" s="35"/>
      <c r="BI54" s="35"/>
      <c r="BJ54" s="35"/>
      <c r="BK54" s="35"/>
      <c r="BL54" s="35"/>
      <c r="BM54" s="35"/>
      <c r="BN54" s="39"/>
    </row>
    <row r="55" spans="2:66" s="13" customFormat="1" ht="9" customHeight="1" x14ac:dyDescent="0.25">
      <c r="B55" s="38"/>
      <c r="C55" s="35"/>
      <c r="D55" s="35"/>
      <c r="E55" s="35"/>
      <c r="F55" s="35"/>
      <c r="G55" s="35"/>
      <c r="H55" s="35"/>
      <c r="I55" s="35"/>
      <c r="J55" s="35"/>
      <c r="K55" s="39"/>
      <c r="L55" s="35"/>
      <c r="M55" s="38"/>
      <c r="N55" s="35"/>
      <c r="O55" s="35"/>
      <c r="P55" s="35"/>
      <c r="Q55" s="35"/>
      <c r="R55" s="35"/>
      <c r="S55" s="35"/>
      <c r="T55" s="35"/>
      <c r="U55" s="35"/>
      <c r="V55" s="39"/>
      <c r="W55" s="35"/>
      <c r="X55" s="38"/>
      <c r="Y55" s="35"/>
      <c r="Z55" s="35"/>
      <c r="AA55" s="35"/>
      <c r="AB55" s="35"/>
      <c r="AC55" s="35"/>
      <c r="AD55" s="35"/>
      <c r="AE55" s="35"/>
      <c r="AF55" s="35"/>
      <c r="AG55" s="39"/>
      <c r="AH55" s="35"/>
      <c r="AI55" s="38"/>
      <c r="AJ55" s="35"/>
      <c r="AK55" s="35"/>
      <c r="AL55" s="35"/>
      <c r="AM55" s="35"/>
      <c r="AN55" s="35"/>
      <c r="AO55" s="35"/>
      <c r="AP55" s="35"/>
      <c r="AQ55" s="35"/>
      <c r="AR55" s="39"/>
      <c r="AS55" s="35"/>
      <c r="AT55" s="38"/>
      <c r="AU55" s="35"/>
      <c r="AV55" s="35"/>
      <c r="AW55" s="35"/>
      <c r="AX55" s="35"/>
      <c r="AY55" s="35"/>
      <c r="AZ55" s="35"/>
      <c r="BA55" s="35"/>
      <c r="BB55" s="35"/>
      <c r="BC55" s="39"/>
      <c r="BD55" s="35"/>
      <c r="BE55" s="38"/>
      <c r="BF55" s="35"/>
      <c r="BG55" s="35"/>
      <c r="BH55" s="35"/>
      <c r="BI55" s="35"/>
      <c r="BJ55" s="35"/>
      <c r="BK55" s="35"/>
      <c r="BL55" s="35"/>
      <c r="BM55" s="35"/>
      <c r="BN55" s="39"/>
    </row>
    <row r="56" spans="2:66" s="13" customFormat="1" ht="9" customHeight="1" x14ac:dyDescent="0.25">
      <c r="B56" s="38"/>
      <c r="C56" s="35"/>
      <c r="D56" s="35"/>
      <c r="E56" s="35"/>
      <c r="F56" s="35"/>
      <c r="G56" s="35"/>
      <c r="H56" s="35"/>
      <c r="I56" s="35"/>
      <c r="J56" s="35"/>
      <c r="K56" s="39"/>
      <c r="L56" s="35"/>
      <c r="M56" s="38"/>
      <c r="N56" s="35"/>
      <c r="O56" s="35"/>
      <c r="P56" s="35"/>
      <c r="Q56" s="35"/>
      <c r="R56" s="35"/>
      <c r="S56" s="35"/>
      <c r="T56" s="35"/>
      <c r="U56" s="35"/>
      <c r="V56" s="39"/>
      <c r="W56" s="35"/>
      <c r="X56" s="38"/>
      <c r="Y56" s="35"/>
      <c r="Z56" s="35"/>
      <c r="AA56" s="35"/>
      <c r="AB56" s="35"/>
      <c r="AC56" s="35"/>
      <c r="AD56" s="35"/>
      <c r="AE56" s="35"/>
      <c r="AF56" s="35"/>
      <c r="AG56" s="39"/>
      <c r="AH56" s="35"/>
      <c r="AI56" s="38"/>
      <c r="AJ56" s="35"/>
      <c r="AK56" s="35"/>
      <c r="AL56" s="35"/>
      <c r="AM56" s="35"/>
      <c r="AN56" s="35"/>
      <c r="AO56" s="35"/>
      <c r="AP56" s="35"/>
      <c r="AQ56" s="35"/>
      <c r="AR56" s="39"/>
      <c r="AS56" s="35"/>
      <c r="AT56" s="38"/>
      <c r="AU56" s="35"/>
      <c r="AV56" s="35"/>
      <c r="AW56" s="35"/>
      <c r="AX56" s="35"/>
      <c r="AY56" s="35"/>
      <c r="AZ56" s="35"/>
      <c r="BA56" s="35"/>
      <c r="BB56" s="35"/>
      <c r="BC56" s="39"/>
      <c r="BD56" s="35"/>
      <c r="BE56" s="38"/>
      <c r="BF56" s="35"/>
      <c r="BG56" s="35"/>
      <c r="BH56" s="35"/>
      <c r="BI56" s="35"/>
      <c r="BJ56" s="35"/>
      <c r="BK56" s="35"/>
      <c r="BL56" s="35"/>
      <c r="BM56" s="35"/>
      <c r="BN56" s="39"/>
    </row>
    <row r="57" spans="2:66" s="13" customFormat="1" ht="9" customHeight="1" x14ac:dyDescent="0.25">
      <c r="B57" s="38"/>
      <c r="C57" s="35"/>
      <c r="D57" s="35"/>
      <c r="E57" s="35"/>
      <c r="F57" s="35"/>
      <c r="G57" s="35"/>
      <c r="H57" s="35"/>
      <c r="I57" s="35"/>
      <c r="J57" s="35"/>
      <c r="K57" s="39"/>
      <c r="L57" s="35"/>
      <c r="M57" s="38"/>
      <c r="N57" s="35"/>
      <c r="O57" s="35"/>
      <c r="P57" s="35"/>
      <c r="Q57" s="35"/>
      <c r="R57" s="35"/>
      <c r="S57" s="35"/>
      <c r="T57" s="35"/>
      <c r="U57" s="35"/>
      <c r="V57" s="39"/>
      <c r="W57" s="35"/>
      <c r="X57" s="38"/>
      <c r="Y57" s="35"/>
      <c r="Z57" s="35"/>
      <c r="AA57" s="35"/>
      <c r="AB57" s="35"/>
      <c r="AC57" s="35"/>
      <c r="AD57" s="35"/>
      <c r="AE57" s="35"/>
      <c r="AF57" s="35"/>
      <c r="AG57" s="39"/>
      <c r="AH57" s="35"/>
      <c r="AI57" s="38"/>
      <c r="AJ57" s="35"/>
      <c r="AK57" s="35"/>
      <c r="AL57" s="35"/>
      <c r="AM57" s="35"/>
      <c r="AN57" s="35"/>
      <c r="AO57" s="35"/>
      <c r="AP57" s="35"/>
      <c r="AQ57" s="35"/>
      <c r="AR57" s="39"/>
      <c r="AS57" s="35"/>
      <c r="AT57" s="38"/>
      <c r="AU57" s="35"/>
      <c r="AV57" s="35"/>
      <c r="AW57" s="35"/>
      <c r="AX57" s="35"/>
      <c r="AY57" s="35"/>
      <c r="AZ57" s="35"/>
      <c r="BA57" s="35"/>
      <c r="BB57" s="35"/>
      <c r="BC57" s="39"/>
      <c r="BD57" s="35"/>
      <c r="BE57" s="38"/>
      <c r="BF57" s="35"/>
      <c r="BG57" s="35"/>
      <c r="BH57" s="35"/>
      <c r="BI57" s="35"/>
      <c r="BJ57" s="35"/>
      <c r="BK57" s="35"/>
      <c r="BL57" s="35"/>
      <c r="BM57" s="35"/>
      <c r="BN57" s="39"/>
    </row>
    <row r="58" spans="2:66" s="13" customFormat="1" ht="9" customHeight="1" x14ac:dyDescent="0.25">
      <c r="B58" s="308" t="s">
        <v>200</v>
      </c>
      <c r="C58" s="308"/>
      <c r="D58" s="308"/>
      <c r="E58" s="308"/>
      <c r="F58" s="308"/>
      <c r="G58" s="308"/>
      <c r="H58" s="309">
        <f>CEILING(6589*B3,1)</f>
        <v>12520</v>
      </c>
      <c r="I58" s="309"/>
      <c r="J58" s="309"/>
      <c r="K58" s="309"/>
      <c r="L58" s="35"/>
      <c r="M58" s="308" t="s">
        <v>201</v>
      </c>
      <c r="N58" s="308"/>
      <c r="O58" s="308"/>
      <c r="P58" s="308"/>
      <c r="Q58" s="308"/>
      <c r="R58" s="308"/>
      <c r="S58" s="309">
        <f>CEILING(4979*B3,1)</f>
        <v>9461</v>
      </c>
      <c r="T58" s="309"/>
      <c r="U58" s="309"/>
      <c r="V58" s="309"/>
      <c r="W58" s="35"/>
      <c r="X58" s="38"/>
      <c r="Y58" s="35"/>
      <c r="Z58" s="35"/>
      <c r="AA58" s="35"/>
      <c r="AB58" s="35"/>
      <c r="AC58" s="35"/>
      <c r="AD58" s="35"/>
      <c r="AE58" s="35"/>
      <c r="AF58" s="35"/>
      <c r="AG58" s="39"/>
      <c r="AH58" s="35"/>
      <c r="AI58" s="38"/>
      <c r="AJ58" s="35"/>
      <c r="AK58" s="35"/>
      <c r="AL58" s="35"/>
      <c r="AM58" s="35"/>
      <c r="AN58" s="35"/>
      <c r="AO58" s="35"/>
      <c r="AP58" s="35"/>
      <c r="AQ58" s="35"/>
      <c r="AR58" s="39"/>
      <c r="AS58" s="35"/>
      <c r="AT58" s="38"/>
      <c r="AU58" s="35"/>
      <c r="AV58" s="35"/>
      <c r="AW58" s="35"/>
      <c r="AX58" s="35"/>
      <c r="AY58" s="35"/>
      <c r="AZ58" s="35"/>
      <c r="BA58" s="35"/>
      <c r="BB58" s="35"/>
      <c r="BC58" s="39"/>
      <c r="BD58" s="35"/>
      <c r="BE58" s="38"/>
      <c r="BF58" s="35"/>
      <c r="BG58" s="35"/>
      <c r="BH58" s="35"/>
      <c r="BI58" s="35"/>
      <c r="BJ58" s="35"/>
      <c r="BK58" s="35"/>
      <c r="BL58" s="35"/>
      <c r="BM58" s="35"/>
      <c r="BN58" s="39"/>
    </row>
    <row r="59" spans="2:66" s="13" customFormat="1" ht="9" customHeight="1" x14ac:dyDescent="0.25">
      <c r="B59" s="308" t="s">
        <v>202</v>
      </c>
      <c r="C59" s="308"/>
      <c r="D59" s="308"/>
      <c r="E59" s="308"/>
      <c r="F59" s="308"/>
      <c r="G59" s="308"/>
      <c r="H59" s="309">
        <f>CEILING(15025*B3,1)</f>
        <v>28548</v>
      </c>
      <c r="I59" s="309"/>
      <c r="J59" s="309"/>
      <c r="K59" s="309"/>
      <c r="L59" s="2"/>
      <c r="M59" s="308" t="s">
        <v>203</v>
      </c>
      <c r="N59" s="308"/>
      <c r="O59" s="308"/>
      <c r="P59" s="308"/>
      <c r="Q59" s="308"/>
      <c r="R59" s="308"/>
      <c r="S59" s="309">
        <f>CEILING(11721*B3,1)</f>
        <v>22270</v>
      </c>
      <c r="T59" s="309"/>
      <c r="U59" s="309"/>
      <c r="V59" s="309"/>
      <c r="W59" s="2"/>
      <c r="X59" s="308" t="s">
        <v>204</v>
      </c>
      <c r="Y59" s="308"/>
      <c r="Z59" s="308"/>
      <c r="AA59" s="308"/>
      <c r="AB59" s="308"/>
      <c r="AC59" s="308"/>
      <c r="AD59" s="309">
        <f>CEILING(3064*B3,1)</f>
        <v>5822</v>
      </c>
      <c r="AE59" s="309"/>
      <c r="AF59" s="309"/>
      <c r="AG59" s="309"/>
      <c r="AH59" s="2"/>
      <c r="AI59" s="308" t="s">
        <v>205</v>
      </c>
      <c r="AJ59" s="308"/>
      <c r="AK59" s="308"/>
      <c r="AL59" s="308"/>
      <c r="AM59" s="308"/>
      <c r="AN59" s="308"/>
      <c r="AO59" s="309">
        <f>CEILING(1278*B3,1)</f>
        <v>2429</v>
      </c>
      <c r="AP59" s="309"/>
      <c r="AQ59" s="309"/>
      <c r="AR59" s="309"/>
      <c r="AS59" s="2"/>
      <c r="AT59" s="308" t="s">
        <v>206</v>
      </c>
      <c r="AU59" s="308"/>
      <c r="AV59" s="308"/>
      <c r="AW59" s="308"/>
      <c r="AX59" s="308"/>
      <c r="AY59" s="308"/>
      <c r="AZ59" s="309">
        <f>CEILING(816*B3,1)</f>
        <v>1551</v>
      </c>
      <c r="BA59" s="309"/>
      <c r="BB59" s="309"/>
      <c r="BC59" s="309"/>
      <c r="BD59" s="2"/>
      <c r="BE59" s="308" t="s">
        <v>207</v>
      </c>
      <c r="BF59" s="308"/>
      <c r="BG59" s="308"/>
      <c r="BH59" s="308"/>
      <c r="BI59" s="308"/>
      <c r="BJ59" s="308"/>
      <c r="BK59" s="309" t="s">
        <v>276</v>
      </c>
      <c r="BL59" s="309"/>
      <c r="BM59" s="309"/>
      <c r="BN59" s="309"/>
    </row>
    <row r="60" spans="2:66" s="13" customFormat="1" ht="2.1" customHeight="1" x14ac:dyDescent="0.2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spans="2:66" s="13" customFormat="1" ht="9" customHeight="1" x14ac:dyDescent="0.25">
      <c r="B61" s="321" t="s">
        <v>208</v>
      </c>
      <c r="C61" s="322"/>
      <c r="D61" s="323"/>
      <c r="E61" s="324" t="s">
        <v>209</v>
      </c>
      <c r="F61" s="325"/>
      <c r="G61" s="325"/>
      <c r="H61" s="325"/>
      <c r="I61" s="325"/>
      <c r="J61" s="325"/>
      <c r="K61" s="326"/>
      <c r="L61" s="35"/>
      <c r="M61" s="321" t="s">
        <v>210</v>
      </c>
      <c r="N61" s="322"/>
      <c r="O61" s="323"/>
      <c r="P61" s="324" t="s">
        <v>209</v>
      </c>
      <c r="Q61" s="325"/>
      <c r="R61" s="325"/>
      <c r="S61" s="325"/>
      <c r="T61" s="325"/>
      <c r="U61" s="325"/>
      <c r="V61" s="326"/>
      <c r="W61" s="35"/>
      <c r="X61" s="321" t="s">
        <v>211</v>
      </c>
      <c r="Y61" s="322"/>
      <c r="Z61" s="323"/>
      <c r="AA61" s="324" t="s">
        <v>209</v>
      </c>
      <c r="AB61" s="325"/>
      <c r="AC61" s="325"/>
      <c r="AD61" s="325"/>
      <c r="AE61" s="325"/>
      <c r="AF61" s="325"/>
      <c r="AG61" s="326"/>
      <c r="AH61" s="35"/>
      <c r="AI61" s="321" t="s">
        <v>72</v>
      </c>
      <c r="AJ61" s="322"/>
      <c r="AK61" s="323"/>
      <c r="AL61" s="324" t="s">
        <v>73</v>
      </c>
      <c r="AM61" s="325"/>
      <c r="AN61" s="325"/>
      <c r="AO61" s="325"/>
      <c r="AP61" s="325"/>
      <c r="AQ61" s="325"/>
      <c r="AR61" s="326"/>
      <c r="AS61" s="35"/>
      <c r="AT61" s="344"/>
      <c r="AU61" s="344"/>
      <c r="AV61" s="344"/>
      <c r="AW61" s="313"/>
      <c r="AX61" s="313"/>
      <c r="AY61" s="313"/>
      <c r="AZ61" s="313"/>
      <c r="BA61" s="313"/>
      <c r="BB61" s="313"/>
      <c r="BC61" s="313"/>
      <c r="BD61" s="35"/>
      <c r="BE61" s="344"/>
      <c r="BF61" s="344"/>
      <c r="BG61" s="344"/>
      <c r="BH61" s="313"/>
      <c r="BI61" s="313"/>
      <c r="BJ61" s="313"/>
      <c r="BK61" s="313"/>
      <c r="BL61" s="313"/>
      <c r="BM61" s="313"/>
      <c r="BN61" s="313"/>
    </row>
    <row r="62" spans="2:66" s="13" customFormat="1" ht="9" customHeight="1" x14ac:dyDescent="0.25">
      <c r="B62" s="312" t="s">
        <v>216</v>
      </c>
      <c r="C62" s="313"/>
      <c r="D62" s="313"/>
      <c r="E62" s="313"/>
      <c r="F62" s="313"/>
      <c r="G62" s="313"/>
      <c r="H62" s="313"/>
      <c r="I62" s="313"/>
      <c r="J62" s="313"/>
      <c r="K62" s="314"/>
      <c r="L62" s="35"/>
      <c r="M62" s="312" t="s">
        <v>217</v>
      </c>
      <c r="N62" s="313"/>
      <c r="O62" s="313"/>
      <c r="P62" s="313"/>
      <c r="Q62" s="313"/>
      <c r="R62" s="313"/>
      <c r="S62" s="313"/>
      <c r="T62" s="313"/>
      <c r="U62" s="313"/>
      <c r="V62" s="314"/>
      <c r="W62" s="35"/>
      <c r="X62" s="312" t="s">
        <v>217</v>
      </c>
      <c r="Y62" s="313"/>
      <c r="Z62" s="313"/>
      <c r="AA62" s="313"/>
      <c r="AB62" s="313"/>
      <c r="AC62" s="313"/>
      <c r="AD62" s="313"/>
      <c r="AE62" s="313"/>
      <c r="AF62" s="313"/>
      <c r="AG62" s="314"/>
      <c r="AH62" s="35"/>
      <c r="AI62" s="38"/>
      <c r="AJ62" s="35"/>
      <c r="AK62" s="35"/>
      <c r="AL62" s="35"/>
      <c r="AM62" s="35"/>
      <c r="AN62" s="35"/>
      <c r="AO62" s="35"/>
      <c r="AP62" s="35"/>
      <c r="AQ62" s="35"/>
      <c r="AR62" s="39"/>
      <c r="AS62" s="35"/>
      <c r="AT62" s="344"/>
      <c r="AU62" s="344"/>
      <c r="AV62" s="344"/>
      <c r="AW62" s="313"/>
      <c r="AX62" s="313"/>
      <c r="AY62" s="313"/>
      <c r="AZ62" s="313"/>
      <c r="BA62" s="313"/>
      <c r="BB62" s="313"/>
      <c r="BC62" s="313"/>
      <c r="BD62" s="35"/>
      <c r="BE62" s="313"/>
      <c r="BF62" s="313"/>
      <c r="BG62" s="313"/>
      <c r="BH62" s="313"/>
      <c r="BI62" s="313"/>
      <c r="BJ62" s="313"/>
      <c r="BK62" s="313"/>
      <c r="BL62" s="313"/>
      <c r="BM62" s="313"/>
      <c r="BN62" s="313"/>
    </row>
    <row r="63" spans="2:66" s="13" customFormat="1" ht="9" customHeight="1" x14ac:dyDescent="0.25">
      <c r="B63" s="38"/>
      <c r="C63" s="35"/>
      <c r="D63" s="35"/>
      <c r="E63" s="35"/>
      <c r="F63" s="35"/>
      <c r="G63" s="35"/>
      <c r="H63" s="35"/>
      <c r="I63" s="35"/>
      <c r="J63" s="35"/>
      <c r="K63" s="39"/>
      <c r="L63" s="35"/>
      <c r="M63" s="38"/>
      <c r="N63" s="35"/>
      <c r="O63" s="35"/>
      <c r="P63" s="35"/>
      <c r="Q63" s="35"/>
      <c r="R63" s="35"/>
      <c r="S63" s="35"/>
      <c r="T63" s="35"/>
      <c r="U63" s="35"/>
      <c r="V63" s="39"/>
      <c r="W63" s="35"/>
      <c r="X63" s="38"/>
      <c r="Y63" s="35"/>
      <c r="Z63" s="35"/>
      <c r="AA63" s="35"/>
      <c r="AB63" s="35"/>
      <c r="AC63" s="35"/>
      <c r="AD63" s="35"/>
      <c r="AE63" s="35"/>
      <c r="AF63" s="35"/>
      <c r="AG63" s="39"/>
      <c r="AH63" s="35"/>
      <c r="AI63" s="38"/>
      <c r="AJ63" s="35"/>
      <c r="AK63" s="35"/>
      <c r="AL63" s="35"/>
      <c r="AM63" s="35"/>
      <c r="AN63" s="35"/>
      <c r="AO63" s="35"/>
      <c r="AP63" s="35"/>
      <c r="AQ63" s="35"/>
      <c r="AR63" s="39"/>
      <c r="AS63" s="35"/>
      <c r="AT63" s="35"/>
      <c r="AU63" s="35"/>
      <c r="AV63" s="35"/>
      <c r="AW63" s="35"/>
      <c r="AX63" s="35"/>
      <c r="AY63" s="35"/>
      <c r="AZ63" s="35"/>
      <c r="BA63" s="35"/>
      <c r="BB63" s="35"/>
      <c r="BC63" s="35"/>
      <c r="BD63" s="35"/>
      <c r="BE63" s="35"/>
      <c r="BF63" s="35"/>
      <c r="BG63" s="35"/>
      <c r="BH63" s="35"/>
      <c r="BI63" s="35"/>
      <c r="BJ63" s="35"/>
      <c r="BK63" s="35"/>
      <c r="BL63" s="35"/>
      <c r="BM63" s="35"/>
      <c r="BN63" s="35"/>
    </row>
    <row r="64" spans="2:66" s="13" customFormat="1" ht="9" customHeight="1" x14ac:dyDescent="0.25">
      <c r="B64" s="38"/>
      <c r="C64" s="35"/>
      <c r="D64" s="35"/>
      <c r="E64" s="35"/>
      <c r="F64" s="35"/>
      <c r="G64" s="35"/>
      <c r="H64" s="35"/>
      <c r="I64" s="35"/>
      <c r="J64" s="35"/>
      <c r="K64" s="39"/>
      <c r="L64" s="35"/>
      <c r="M64" s="38"/>
      <c r="N64" s="35"/>
      <c r="O64" s="35"/>
      <c r="P64" s="35"/>
      <c r="Q64" s="35"/>
      <c r="R64" s="35"/>
      <c r="S64" s="35"/>
      <c r="T64" s="35"/>
      <c r="U64" s="35"/>
      <c r="V64" s="39"/>
      <c r="W64" s="35"/>
      <c r="X64" s="38"/>
      <c r="Y64" s="35"/>
      <c r="Z64" s="35"/>
      <c r="AA64" s="35"/>
      <c r="AB64" s="35"/>
      <c r="AC64" s="35"/>
      <c r="AD64" s="35"/>
      <c r="AE64" s="35"/>
      <c r="AF64" s="35"/>
      <c r="AG64" s="39"/>
      <c r="AH64" s="35"/>
      <c r="AI64" s="38"/>
      <c r="AJ64" s="35"/>
      <c r="AK64" s="35"/>
      <c r="AL64" s="35"/>
      <c r="AM64" s="35"/>
      <c r="AN64" s="35"/>
      <c r="AO64" s="35"/>
      <c r="AP64" s="35"/>
      <c r="AQ64" s="35"/>
      <c r="AR64" s="39"/>
      <c r="AS64" s="35"/>
      <c r="AT64" s="35"/>
      <c r="AU64" s="35"/>
      <c r="AV64" s="35"/>
      <c r="AW64" s="35"/>
      <c r="AX64" s="35"/>
      <c r="AY64" s="35"/>
      <c r="AZ64" s="35"/>
      <c r="BA64" s="35"/>
      <c r="BB64" s="35"/>
      <c r="BC64" s="35"/>
      <c r="BD64" s="35"/>
      <c r="BE64" s="35"/>
      <c r="BF64" s="35"/>
      <c r="BG64" s="35"/>
      <c r="BH64" s="35"/>
      <c r="BI64" s="35"/>
      <c r="BJ64" s="35"/>
      <c r="BK64" s="35"/>
      <c r="BL64" s="35"/>
      <c r="BM64" s="35"/>
      <c r="BN64" s="35"/>
    </row>
    <row r="65" spans="2:66" s="13" customFormat="1" ht="9" customHeight="1" x14ac:dyDescent="0.25">
      <c r="B65" s="38"/>
      <c r="C65" s="35"/>
      <c r="D65" s="35"/>
      <c r="E65" s="35"/>
      <c r="F65" s="35"/>
      <c r="G65" s="35"/>
      <c r="H65" s="35"/>
      <c r="I65" s="35"/>
      <c r="J65" s="35"/>
      <c r="K65" s="39"/>
      <c r="L65" s="35"/>
      <c r="M65" s="38"/>
      <c r="N65" s="35"/>
      <c r="O65" s="35"/>
      <c r="P65" s="35"/>
      <c r="Q65" s="35"/>
      <c r="R65" s="35"/>
      <c r="S65" s="35"/>
      <c r="T65" s="35"/>
      <c r="U65" s="35"/>
      <c r="V65" s="39"/>
      <c r="W65" s="35"/>
      <c r="X65" s="38"/>
      <c r="Y65" s="35"/>
      <c r="Z65" s="35"/>
      <c r="AA65" s="35"/>
      <c r="AB65" s="35"/>
      <c r="AC65" s="35"/>
      <c r="AD65" s="35"/>
      <c r="AE65" s="35"/>
      <c r="AF65" s="35"/>
      <c r="AG65" s="39"/>
      <c r="AH65" s="35"/>
      <c r="AI65" s="38"/>
      <c r="AJ65" s="35"/>
      <c r="AK65" s="35"/>
      <c r="AL65" s="35"/>
      <c r="AM65" s="35"/>
      <c r="AN65" s="35"/>
      <c r="AO65" s="35"/>
      <c r="AP65" s="35"/>
      <c r="AQ65" s="35"/>
      <c r="AR65" s="39"/>
      <c r="AS65" s="35"/>
      <c r="AT65" s="35"/>
      <c r="AU65" s="35"/>
      <c r="AV65" s="35"/>
      <c r="AW65" s="35"/>
      <c r="AX65" s="35"/>
      <c r="AY65" s="35"/>
      <c r="AZ65" s="35"/>
      <c r="BA65" s="35"/>
      <c r="BB65" s="35"/>
      <c r="BC65" s="35"/>
      <c r="BD65" s="35"/>
      <c r="BE65" s="35"/>
      <c r="BF65" s="35"/>
      <c r="BG65" s="35"/>
      <c r="BH65" s="35"/>
      <c r="BI65" s="35"/>
      <c r="BJ65" s="35"/>
      <c r="BK65" s="35"/>
      <c r="BL65" s="35"/>
      <c r="BM65" s="35"/>
      <c r="BN65" s="35"/>
    </row>
    <row r="66" spans="2:66" s="13" customFormat="1" ht="9" customHeight="1" x14ac:dyDescent="0.25">
      <c r="B66" s="38"/>
      <c r="C66" s="35"/>
      <c r="D66" s="35"/>
      <c r="E66" s="35"/>
      <c r="F66" s="35"/>
      <c r="G66" s="35"/>
      <c r="H66" s="35"/>
      <c r="I66" s="35"/>
      <c r="J66" s="35"/>
      <c r="K66" s="39"/>
      <c r="L66" s="35"/>
      <c r="M66" s="38"/>
      <c r="N66" s="35"/>
      <c r="O66" s="35"/>
      <c r="P66" s="35"/>
      <c r="Q66" s="35"/>
      <c r="R66" s="35"/>
      <c r="S66" s="35"/>
      <c r="T66" s="35"/>
      <c r="U66" s="35"/>
      <c r="V66" s="39"/>
      <c r="W66" s="35"/>
      <c r="X66" s="38"/>
      <c r="Y66" s="35"/>
      <c r="Z66" s="35"/>
      <c r="AA66" s="35"/>
      <c r="AB66" s="35"/>
      <c r="AC66" s="35"/>
      <c r="AD66" s="35"/>
      <c r="AE66" s="35"/>
      <c r="AF66" s="35"/>
      <c r="AG66" s="39"/>
      <c r="AH66" s="35"/>
      <c r="AI66" s="38"/>
      <c r="AJ66" s="35"/>
      <c r="AK66" s="35"/>
      <c r="AL66" s="35"/>
      <c r="AM66" s="35"/>
      <c r="AN66" s="35"/>
      <c r="AO66" s="35"/>
      <c r="AP66" s="35"/>
      <c r="AQ66" s="35"/>
      <c r="AR66" s="39"/>
      <c r="AS66" s="35"/>
      <c r="AT66" s="35"/>
      <c r="AU66" s="35"/>
      <c r="AV66" s="35"/>
      <c r="AW66" s="35"/>
      <c r="AX66" s="35"/>
      <c r="AY66" s="35"/>
      <c r="AZ66" s="35"/>
      <c r="BA66" s="35"/>
      <c r="BB66" s="35"/>
      <c r="BC66" s="35"/>
      <c r="BD66" s="35"/>
      <c r="BE66" s="35"/>
      <c r="BF66" s="35"/>
      <c r="BG66" s="35"/>
      <c r="BH66" s="35"/>
      <c r="BI66" s="35"/>
      <c r="BJ66" s="35"/>
      <c r="BK66" s="35"/>
      <c r="BL66" s="35"/>
      <c r="BM66" s="35"/>
      <c r="BN66" s="35"/>
    </row>
    <row r="67" spans="2:66" s="13" customFormat="1" ht="9" customHeight="1" x14ac:dyDescent="0.25">
      <c r="B67" s="38"/>
      <c r="C67" s="35"/>
      <c r="D67" s="35"/>
      <c r="E67" s="35"/>
      <c r="F67" s="35"/>
      <c r="G67" s="35"/>
      <c r="H67" s="35"/>
      <c r="I67" s="35"/>
      <c r="J67" s="35"/>
      <c r="K67" s="39"/>
      <c r="L67" s="35"/>
      <c r="M67" s="38"/>
      <c r="N67" s="35"/>
      <c r="O67" s="35"/>
      <c r="P67" s="35"/>
      <c r="Q67" s="35"/>
      <c r="R67" s="35"/>
      <c r="S67" s="35"/>
      <c r="T67" s="35"/>
      <c r="U67" s="35"/>
      <c r="V67" s="39"/>
      <c r="W67" s="35"/>
      <c r="X67" s="38"/>
      <c r="Y67" s="35"/>
      <c r="Z67" s="35"/>
      <c r="AA67" s="35"/>
      <c r="AB67" s="35"/>
      <c r="AC67" s="35"/>
      <c r="AD67" s="35"/>
      <c r="AE67" s="35"/>
      <c r="AF67" s="35"/>
      <c r="AG67" s="39"/>
      <c r="AH67" s="35"/>
      <c r="AI67" s="38"/>
      <c r="AJ67" s="35"/>
      <c r="AK67" s="35"/>
      <c r="AL67" s="35"/>
      <c r="AM67" s="35"/>
      <c r="AN67" s="35"/>
      <c r="AO67" s="35"/>
      <c r="AP67" s="35"/>
      <c r="AQ67" s="35"/>
      <c r="AR67" s="39"/>
      <c r="AS67" s="35"/>
      <c r="AT67" s="35"/>
      <c r="AU67" s="35"/>
      <c r="AV67" s="35"/>
      <c r="AW67" s="35"/>
      <c r="AX67" s="35"/>
      <c r="AY67" s="35"/>
      <c r="AZ67" s="35"/>
      <c r="BA67" s="35"/>
      <c r="BB67" s="35"/>
      <c r="BC67" s="35"/>
      <c r="BD67" s="35"/>
      <c r="BE67" s="35"/>
      <c r="BF67" s="35"/>
      <c r="BG67" s="35"/>
      <c r="BH67" s="35"/>
      <c r="BI67" s="35"/>
      <c r="BJ67" s="35"/>
      <c r="BK67" s="35"/>
      <c r="BL67" s="35"/>
      <c r="BM67" s="35"/>
      <c r="BN67" s="35"/>
    </row>
    <row r="68" spans="2:66" s="13" customFormat="1" ht="9" customHeight="1" x14ac:dyDescent="0.25">
      <c r="B68" s="38"/>
      <c r="C68" s="35"/>
      <c r="D68" s="35"/>
      <c r="E68" s="35"/>
      <c r="F68" s="35"/>
      <c r="G68" s="35"/>
      <c r="H68" s="35"/>
      <c r="I68" s="35"/>
      <c r="J68" s="35"/>
      <c r="K68" s="39"/>
      <c r="L68" s="35"/>
      <c r="M68" s="38"/>
      <c r="N68" s="35"/>
      <c r="O68" s="35"/>
      <c r="P68" s="35"/>
      <c r="Q68" s="35"/>
      <c r="R68" s="35"/>
      <c r="S68" s="35"/>
      <c r="T68" s="35"/>
      <c r="U68" s="35"/>
      <c r="V68" s="39"/>
      <c r="W68" s="35"/>
      <c r="X68" s="38"/>
      <c r="Y68" s="35"/>
      <c r="Z68" s="35"/>
      <c r="AA68" s="35"/>
      <c r="AB68" s="35"/>
      <c r="AC68" s="35"/>
      <c r="AD68" s="35"/>
      <c r="AE68" s="35"/>
      <c r="AF68" s="35"/>
      <c r="AG68" s="39"/>
      <c r="AH68" s="35"/>
      <c r="AI68" s="38"/>
      <c r="AJ68" s="35"/>
      <c r="AK68" s="35"/>
      <c r="AL68" s="35"/>
      <c r="AM68" s="35"/>
      <c r="AN68" s="35"/>
      <c r="AO68" s="35"/>
      <c r="AP68" s="35"/>
      <c r="AQ68" s="35"/>
      <c r="AR68" s="39"/>
      <c r="AS68" s="35"/>
      <c r="AT68" s="35"/>
      <c r="AU68" s="35"/>
      <c r="AV68" s="35"/>
      <c r="AW68" s="35"/>
      <c r="AX68" s="35"/>
      <c r="AY68" s="35"/>
      <c r="AZ68" s="35"/>
      <c r="BA68" s="35"/>
      <c r="BB68" s="35"/>
      <c r="BC68" s="35"/>
      <c r="BD68" s="35"/>
      <c r="BE68" s="35"/>
      <c r="BF68" s="35"/>
      <c r="BG68" s="35"/>
      <c r="BH68" s="35"/>
      <c r="BI68" s="35"/>
      <c r="BJ68" s="35"/>
      <c r="BK68" s="35"/>
      <c r="BL68" s="35"/>
      <c r="BM68" s="35"/>
      <c r="BN68" s="35"/>
    </row>
    <row r="69" spans="2:66" s="13" customFormat="1" ht="9" customHeight="1" x14ac:dyDescent="0.25">
      <c r="B69" s="38"/>
      <c r="C69" s="35"/>
      <c r="D69" s="35"/>
      <c r="E69" s="35"/>
      <c r="F69" s="35"/>
      <c r="G69" s="35"/>
      <c r="H69" s="35"/>
      <c r="I69" s="35"/>
      <c r="J69" s="35"/>
      <c r="K69" s="39"/>
      <c r="L69" s="35"/>
      <c r="M69" s="38"/>
      <c r="N69" s="35"/>
      <c r="O69" s="35"/>
      <c r="P69" s="35"/>
      <c r="Q69" s="35"/>
      <c r="R69" s="35"/>
      <c r="S69" s="35"/>
      <c r="T69" s="35"/>
      <c r="U69" s="35"/>
      <c r="V69" s="39"/>
      <c r="W69" s="35"/>
      <c r="X69" s="38"/>
      <c r="Y69" s="35"/>
      <c r="Z69" s="35"/>
      <c r="AA69" s="35"/>
      <c r="AB69" s="35"/>
      <c r="AC69" s="35"/>
      <c r="AD69" s="35"/>
      <c r="AE69" s="35"/>
      <c r="AF69" s="35"/>
      <c r="AG69" s="39"/>
      <c r="AH69" s="35"/>
      <c r="AI69" s="38"/>
      <c r="AJ69" s="35"/>
      <c r="AK69" s="35"/>
      <c r="AL69" s="35"/>
      <c r="AM69" s="35"/>
      <c r="AN69" s="35"/>
      <c r="AO69" s="35"/>
      <c r="AP69" s="35"/>
      <c r="AQ69" s="35"/>
      <c r="AR69" s="39"/>
      <c r="AS69" s="35"/>
      <c r="AT69" s="35"/>
      <c r="AU69" s="35"/>
      <c r="AV69" s="35"/>
      <c r="AW69" s="35"/>
      <c r="AX69" s="35"/>
      <c r="AY69" s="35"/>
      <c r="AZ69" s="35"/>
      <c r="BA69" s="35"/>
      <c r="BB69" s="35"/>
      <c r="BC69" s="35"/>
      <c r="BD69" s="35"/>
      <c r="BE69" s="35"/>
      <c r="BF69" s="35"/>
      <c r="BG69" s="35"/>
      <c r="BH69" s="35"/>
      <c r="BI69" s="35"/>
      <c r="BJ69" s="35"/>
      <c r="BK69" s="35"/>
      <c r="BL69" s="35"/>
      <c r="BM69" s="35"/>
      <c r="BN69" s="35"/>
    </row>
    <row r="70" spans="2:66" s="13" customFormat="1" ht="9" customHeight="1" x14ac:dyDescent="0.25">
      <c r="B70" s="38"/>
      <c r="C70" s="35"/>
      <c r="D70" s="35"/>
      <c r="E70" s="35"/>
      <c r="F70" s="35"/>
      <c r="G70" s="35"/>
      <c r="H70" s="35"/>
      <c r="I70" s="35"/>
      <c r="J70" s="35"/>
      <c r="K70" s="39"/>
      <c r="L70" s="35"/>
      <c r="M70" s="38"/>
      <c r="N70" s="35"/>
      <c r="O70" s="35"/>
      <c r="P70" s="35"/>
      <c r="Q70" s="35"/>
      <c r="R70" s="35"/>
      <c r="S70" s="35"/>
      <c r="T70" s="35"/>
      <c r="U70" s="35"/>
      <c r="V70" s="39"/>
      <c r="W70" s="35"/>
      <c r="X70" s="38"/>
      <c r="Y70" s="35"/>
      <c r="Z70" s="35"/>
      <c r="AA70" s="35"/>
      <c r="AB70" s="35"/>
      <c r="AC70" s="35"/>
      <c r="AD70" s="35"/>
      <c r="AE70" s="35"/>
      <c r="AF70" s="35"/>
      <c r="AG70" s="39"/>
      <c r="AH70" s="35"/>
      <c r="AI70" s="38"/>
      <c r="AJ70" s="35"/>
      <c r="AK70" s="35"/>
      <c r="AL70" s="35"/>
      <c r="AM70" s="35"/>
      <c r="AN70" s="35"/>
      <c r="AO70" s="35"/>
      <c r="AP70" s="35"/>
      <c r="AQ70" s="35"/>
      <c r="AR70" s="39"/>
      <c r="AS70" s="35"/>
      <c r="AT70" s="35"/>
      <c r="AU70" s="35"/>
      <c r="AV70" s="35"/>
      <c r="AW70" s="35"/>
      <c r="AX70" s="35"/>
      <c r="AY70" s="35"/>
      <c r="AZ70" s="35"/>
      <c r="BA70" s="35"/>
      <c r="BB70" s="35"/>
      <c r="BC70" s="35"/>
      <c r="BD70" s="35"/>
      <c r="BE70" s="35"/>
      <c r="BF70" s="35"/>
      <c r="BG70" s="35"/>
      <c r="BH70" s="35"/>
      <c r="BI70" s="35"/>
      <c r="BJ70" s="35"/>
      <c r="BK70" s="35"/>
      <c r="BL70" s="35"/>
      <c r="BM70" s="35"/>
      <c r="BN70" s="35"/>
    </row>
    <row r="71" spans="2:66" s="13" customFormat="1" ht="9" customHeight="1" x14ac:dyDescent="0.25">
      <c r="B71" s="38"/>
      <c r="C71" s="35"/>
      <c r="D71" s="35"/>
      <c r="E71" s="35"/>
      <c r="F71" s="35"/>
      <c r="G71" s="35"/>
      <c r="H71" s="35"/>
      <c r="I71" s="35"/>
      <c r="J71" s="35"/>
      <c r="K71" s="39"/>
      <c r="L71" s="35"/>
      <c r="M71" s="38"/>
      <c r="N71" s="35"/>
      <c r="O71" s="35"/>
      <c r="P71" s="35"/>
      <c r="Q71" s="35"/>
      <c r="R71" s="35"/>
      <c r="S71" s="35"/>
      <c r="T71" s="35"/>
      <c r="U71" s="35"/>
      <c r="V71" s="39"/>
      <c r="W71" s="35"/>
      <c r="X71" s="38"/>
      <c r="Y71" s="35"/>
      <c r="Z71" s="35"/>
      <c r="AA71" s="35"/>
      <c r="AB71" s="35"/>
      <c r="AC71" s="35"/>
      <c r="AD71" s="35"/>
      <c r="AE71" s="35"/>
      <c r="AF71" s="35"/>
      <c r="AG71" s="39"/>
      <c r="AH71" s="35"/>
      <c r="AI71" s="38"/>
      <c r="AJ71" s="35"/>
      <c r="AK71" s="35"/>
      <c r="AL71" s="35"/>
      <c r="AM71" s="35"/>
      <c r="AN71" s="35"/>
      <c r="AO71" s="35"/>
      <c r="AP71" s="35"/>
      <c r="AQ71" s="35"/>
      <c r="AR71" s="39"/>
      <c r="AS71" s="35"/>
      <c r="AT71" s="35"/>
      <c r="AU71" s="35"/>
      <c r="AV71" s="35"/>
      <c r="AW71" s="35"/>
      <c r="AX71" s="35"/>
      <c r="AY71" s="344"/>
      <c r="AZ71" s="344"/>
      <c r="BA71" s="344"/>
      <c r="BB71" s="344"/>
      <c r="BC71" s="344"/>
      <c r="BD71" s="35"/>
      <c r="BE71" s="35"/>
      <c r="BF71" s="35"/>
      <c r="BG71" s="35"/>
      <c r="BH71" s="35"/>
      <c r="BI71" s="35"/>
      <c r="BJ71" s="35"/>
      <c r="BK71" s="35"/>
      <c r="BL71" s="35"/>
      <c r="BM71" s="35"/>
      <c r="BN71" s="35"/>
    </row>
    <row r="72" spans="2:66" s="13" customFormat="1" ht="9" customHeight="1" x14ac:dyDescent="0.25">
      <c r="B72" s="38"/>
      <c r="C72" s="35"/>
      <c r="D72" s="35"/>
      <c r="E72" s="35"/>
      <c r="F72" s="35"/>
      <c r="G72" s="35"/>
      <c r="H72" s="35"/>
      <c r="I72" s="35"/>
      <c r="J72" s="35"/>
      <c r="K72" s="39"/>
      <c r="L72" s="35"/>
      <c r="M72" s="38"/>
      <c r="N72" s="35"/>
      <c r="O72" s="35"/>
      <c r="P72" s="35"/>
      <c r="Q72" s="35"/>
      <c r="R72" s="35"/>
      <c r="S72" s="35"/>
      <c r="T72" s="35"/>
      <c r="U72" s="35"/>
      <c r="V72" s="39"/>
      <c r="W72" s="35"/>
      <c r="X72" s="38"/>
      <c r="Y72" s="35"/>
      <c r="Z72" s="35"/>
      <c r="AA72" s="35"/>
      <c r="AB72" s="35"/>
      <c r="AC72" s="35"/>
      <c r="AD72" s="35"/>
      <c r="AE72" s="35"/>
      <c r="AF72" s="35"/>
      <c r="AG72" s="39"/>
      <c r="AH72" s="35"/>
      <c r="AI72" s="327" t="s">
        <v>78</v>
      </c>
      <c r="AJ72" s="328"/>
      <c r="AK72" s="328"/>
      <c r="AL72" s="328"/>
      <c r="AM72" s="328"/>
      <c r="AN72" s="329"/>
      <c r="AO72" s="315" t="s">
        <v>79</v>
      </c>
      <c r="AP72" s="317"/>
      <c r="AQ72" s="316" t="s">
        <v>80</v>
      </c>
      <c r="AR72" s="317"/>
      <c r="AS72" s="35"/>
      <c r="AT72" s="336"/>
      <c r="AU72" s="336"/>
      <c r="AV72" s="336"/>
      <c r="AW72" s="336"/>
      <c r="AX72" s="336"/>
      <c r="AY72" s="337"/>
      <c r="AZ72" s="337"/>
      <c r="BA72" s="337"/>
      <c r="BB72" s="337"/>
      <c r="BC72" s="337"/>
      <c r="BD72" s="35"/>
      <c r="BE72" s="35"/>
      <c r="BF72" s="35"/>
      <c r="BG72" s="35"/>
      <c r="BH72" s="35"/>
      <c r="BI72" s="35"/>
      <c r="BJ72" s="344"/>
      <c r="BK72" s="344"/>
      <c r="BL72" s="344"/>
      <c r="BM72" s="344"/>
      <c r="BN72" s="344"/>
    </row>
    <row r="73" spans="2:66" s="13" customFormat="1" ht="9" customHeight="1" x14ac:dyDescent="0.25">
      <c r="B73" s="308" t="s">
        <v>224</v>
      </c>
      <c r="C73" s="308"/>
      <c r="D73" s="308"/>
      <c r="E73" s="308"/>
      <c r="F73" s="308"/>
      <c r="G73" s="308"/>
      <c r="H73" s="309">
        <f>CEILING(1278*B3,1)</f>
        <v>2429</v>
      </c>
      <c r="I73" s="309"/>
      <c r="J73" s="309"/>
      <c r="K73" s="309"/>
      <c r="L73" s="2"/>
      <c r="M73" s="308" t="s">
        <v>225</v>
      </c>
      <c r="N73" s="308"/>
      <c r="O73" s="308"/>
      <c r="P73" s="308"/>
      <c r="Q73" s="308"/>
      <c r="R73" s="308"/>
      <c r="S73" s="309">
        <f>CEILING(2809*B3,1)</f>
        <v>5338</v>
      </c>
      <c r="T73" s="309"/>
      <c r="U73" s="309"/>
      <c r="V73" s="309"/>
      <c r="W73" s="2"/>
      <c r="X73" s="308" t="s">
        <v>225</v>
      </c>
      <c r="Y73" s="308"/>
      <c r="Z73" s="308"/>
      <c r="AA73" s="308"/>
      <c r="AB73" s="308"/>
      <c r="AC73" s="308"/>
      <c r="AD73" s="309">
        <f>CEILING(2903*B3,1)</f>
        <v>5516</v>
      </c>
      <c r="AE73" s="309"/>
      <c r="AF73" s="309"/>
      <c r="AG73" s="309"/>
      <c r="AH73" s="25"/>
      <c r="AI73" s="308" t="s">
        <v>83</v>
      </c>
      <c r="AJ73" s="308"/>
      <c r="AK73" s="308"/>
      <c r="AL73" s="308"/>
      <c r="AM73" s="308"/>
      <c r="AN73" s="308"/>
      <c r="AO73" s="309">
        <f>2191*B3</f>
        <v>4162.8999999999996</v>
      </c>
      <c r="AP73" s="309"/>
      <c r="AQ73" s="309">
        <f>2637*B3</f>
        <v>5010.3</v>
      </c>
      <c r="AR73" s="309"/>
      <c r="AS73" s="24"/>
      <c r="AT73" s="362"/>
      <c r="AU73" s="362"/>
      <c r="AV73" s="362"/>
      <c r="AW73" s="362"/>
      <c r="AX73" s="362"/>
      <c r="AY73" s="345"/>
      <c r="AZ73" s="345"/>
      <c r="BA73" s="345"/>
      <c r="BB73" s="345"/>
      <c r="BC73" s="345"/>
      <c r="BD73" s="6"/>
      <c r="BE73" s="5"/>
      <c r="BF73" s="5"/>
      <c r="BG73" s="5"/>
      <c r="BH73" s="5"/>
      <c r="BI73" s="5"/>
      <c r="BJ73" s="345"/>
      <c r="BK73" s="345"/>
      <c r="BL73" s="345"/>
      <c r="BM73" s="345"/>
      <c r="BN73" s="345"/>
    </row>
    <row r="74" spans="2:66" s="13" customFormat="1" ht="2.1" customHeight="1" x14ac:dyDescent="0.25">
      <c r="B74" s="42"/>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43"/>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spans="2:66" s="13" customFormat="1" ht="9" customHeight="1" x14ac:dyDescent="0.25">
      <c r="B75" s="364" t="s">
        <v>84</v>
      </c>
      <c r="C75" s="322"/>
      <c r="D75" s="323"/>
      <c r="E75" s="324" t="s">
        <v>85</v>
      </c>
      <c r="F75" s="325"/>
      <c r="G75" s="325"/>
      <c r="H75" s="325"/>
      <c r="I75" s="325"/>
      <c r="J75" s="325"/>
      <c r="K75" s="326"/>
      <c r="L75" s="35"/>
      <c r="M75" s="321" t="s">
        <v>86</v>
      </c>
      <c r="N75" s="322"/>
      <c r="O75" s="323"/>
      <c r="P75" s="324" t="s">
        <v>87</v>
      </c>
      <c r="Q75" s="325"/>
      <c r="R75" s="325"/>
      <c r="S75" s="325"/>
      <c r="T75" s="325"/>
      <c r="U75" s="325"/>
      <c r="V75" s="326"/>
      <c r="W75" s="35"/>
      <c r="X75" s="321" t="s">
        <v>88</v>
      </c>
      <c r="Y75" s="322"/>
      <c r="Z75" s="323"/>
      <c r="AA75" s="324" t="s">
        <v>89</v>
      </c>
      <c r="AB75" s="325"/>
      <c r="AC75" s="325"/>
      <c r="AD75" s="325"/>
      <c r="AE75" s="325"/>
      <c r="AF75" s="325"/>
      <c r="AG75" s="361"/>
      <c r="AH75" s="35"/>
      <c r="AI75" s="321" t="s">
        <v>90</v>
      </c>
      <c r="AJ75" s="322"/>
      <c r="AK75" s="323"/>
      <c r="AL75" s="324" t="s">
        <v>87</v>
      </c>
      <c r="AM75" s="325"/>
      <c r="AN75" s="325"/>
      <c r="AO75" s="325"/>
      <c r="AP75" s="325"/>
      <c r="AQ75" s="325"/>
      <c r="AR75" s="326"/>
      <c r="AS75" s="35"/>
      <c r="AT75" s="321" t="s">
        <v>91</v>
      </c>
      <c r="AU75" s="322"/>
      <c r="AV75" s="323"/>
      <c r="AW75" s="324" t="s">
        <v>87</v>
      </c>
      <c r="AX75" s="325"/>
      <c r="AY75" s="325"/>
      <c r="AZ75" s="325"/>
      <c r="BA75" s="325"/>
      <c r="BB75" s="325"/>
      <c r="BC75" s="326"/>
      <c r="BD75" s="35"/>
      <c r="BE75" s="321" t="s">
        <v>92</v>
      </c>
      <c r="BF75" s="322"/>
      <c r="BG75" s="323"/>
      <c r="BH75" s="324" t="s">
        <v>93</v>
      </c>
      <c r="BI75" s="325"/>
      <c r="BJ75" s="325"/>
      <c r="BK75" s="325"/>
      <c r="BL75" s="325"/>
      <c r="BM75" s="325"/>
      <c r="BN75" s="326"/>
    </row>
    <row r="76" spans="2:66" s="13" customFormat="1" ht="9" customHeight="1" x14ac:dyDescent="0.25">
      <c r="B76" s="42"/>
      <c r="C76" s="35"/>
      <c r="D76" s="35"/>
      <c r="E76" s="35"/>
      <c r="F76" s="35"/>
      <c r="G76" s="35"/>
      <c r="H76" s="35"/>
      <c r="I76" s="35"/>
      <c r="J76" s="35"/>
      <c r="K76" s="39"/>
      <c r="L76" s="35"/>
      <c r="M76" s="38"/>
      <c r="N76" s="35"/>
      <c r="O76" s="35"/>
      <c r="P76" s="35"/>
      <c r="Q76" s="35"/>
      <c r="R76" s="35"/>
      <c r="S76" s="35"/>
      <c r="T76" s="35"/>
      <c r="U76" s="35"/>
      <c r="V76" s="39"/>
      <c r="W76" s="35"/>
      <c r="X76" s="38"/>
      <c r="Y76" s="35"/>
      <c r="Z76" s="35"/>
      <c r="AA76" s="35"/>
      <c r="AB76" s="35"/>
      <c r="AC76" s="35"/>
      <c r="AD76" s="35"/>
      <c r="AE76" s="35"/>
      <c r="AF76" s="35"/>
      <c r="AG76" s="43"/>
      <c r="AH76" s="35"/>
      <c r="AI76" s="38"/>
      <c r="AJ76" s="35"/>
      <c r="AK76" s="35"/>
      <c r="AL76" s="35"/>
      <c r="AM76" s="35"/>
      <c r="AN76" s="35"/>
      <c r="AO76" s="35"/>
      <c r="AP76" s="35"/>
      <c r="AQ76" s="35"/>
      <c r="AR76" s="39"/>
      <c r="AS76" s="35"/>
      <c r="AT76" s="38"/>
      <c r="AU76" s="35"/>
      <c r="AV76" s="35"/>
      <c r="AW76" s="35"/>
      <c r="AX76" s="35"/>
      <c r="AY76" s="35"/>
      <c r="AZ76" s="35"/>
      <c r="BA76" s="35"/>
      <c r="BB76" s="35"/>
      <c r="BC76" s="39"/>
      <c r="BD76" s="35"/>
      <c r="BE76" s="38"/>
      <c r="BF76" s="35"/>
      <c r="BG76" s="35"/>
      <c r="BH76" s="35"/>
      <c r="BI76" s="35"/>
      <c r="BJ76" s="35"/>
      <c r="BK76" s="35"/>
      <c r="BL76" s="35"/>
      <c r="BM76" s="35"/>
      <c r="BN76" s="39"/>
    </row>
    <row r="77" spans="2:66" s="13" customFormat="1" ht="9" customHeight="1" x14ac:dyDescent="0.25">
      <c r="B77" s="42"/>
      <c r="C77" s="35"/>
      <c r="D77" s="35"/>
      <c r="E77" s="35"/>
      <c r="F77" s="35"/>
      <c r="G77" s="35"/>
      <c r="H77" s="35"/>
      <c r="I77" s="35"/>
      <c r="J77" s="35"/>
      <c r="K77" s="39"/>
      <c r="L77" s="35"/>
      <c r="M77" s="38"/>
      <c r="N77" s="35"/>
      <c r="O77" s="35"/>
      <c r="P77" s="35"/>
      <c r="Q77" s="35"/>
      <c r="R77" s="35"/>
      <c r="S77" s="35"/>
      <c r="T77" s="35"/>
      <c r="U77" s="35"/>
      <c r="V77" s="39"/>
      <c r="W77" s="35"/>
      <c r="X77" s="38"/>
      <c r="Y77" s="35"/>
      <c r="Z77" s="35"/>
      <c r="AA77" s="35"/>
      <c r="AB77" s="35"/>
      <c r="AC77" s="35"/>
      <c r="AD77" s="35"/>
      <c r="AE77" s="35"/>
      <c r="AF77" s="35"/>
      <c r="AG77" s="43"/>
      <c r="AH77" s="35"/>
      <c r="AI77" s="38"/>
      <c r="AJ77" s="35"/>
      <c r="AK77" s="35"/>
      <c r="AL77" s="35"/>
      <c r="AM77" s="35"/>
      <c r="AN77" s="35"/>
      <c r="AO77" s="35"/>
      <c r="AP77" s="35"/>
      <c r="AQ77" s="35"/>
      <c r="AR77" s="39"/>
      <c r="AS77" s="35"/>
      <c r="AT77" s="32"/>
      <c r="AU77" s="1"/>
      <c r="AV77" s="1"/>
      <c r="AW77" s="1"/>
      <c r="AX77" s="1"/>
      <c r="AY77" s="1"/>
      <c r="AZ77" s="1"/>
      <c r="BA77" s="1"/>
      <c r="BB77" s="1"/>
      <c r="BC77" s="33"/>
      <c r="BD77" s="35"/>
      <c r="BE77" s="38"/>
      <c r="BF77" s="35"/>
      <c r="BG77" s="35"/>
      <c r="BH77" s="35"/>
      <c r="BI77" s="35"/>
      <c r="BJ77" s="35"/>
      <c r="BK77" s="35"/>
      <c r="BL77" s="35"/>
      <c r="BM77" s="35"/>
      <c r="BN77" s="39"/>
    </row>
    <row r="78" spans="2:66" s="13" customFormat="1" ht="9" customHeight="1" x14ac:dyDescent="0.25">
      <c r="B78" s="42"/>
      <c r="C78" s="35"/>
      <c r="D78" s="35"/>
      <c r="E78" s="35"/>
      <c r="F78" s="35"/>
      <c r="G78" s="35"/>
      <c r="H78" s="35"/>
      <c r="I78" s="35"/>
      <c r="J78" s="35"/>
      <c r="K78" s="39"/>
      <c r="L78" s="35"/>
      <c r="M78" s="38"/>
      <c r="N78" s="35"/>
      <c r="O78" s="35"/>
      <c r="P78" s="35"/>
      <c r="Q78" s="35"/>
      <c r="R78" s="35"/>
      <c r="S78" s="35"/>
      <c r="T78" s="35"/>
      <c r="U78" s="35"/>
      <c r="V78" s="39"/>
      <c r="W78" s="35"/>
      <c r="X78" s="38"/>
      <c r="Y78" s="35"/>
      <c r="Z78" s="35"/>
      <c r="AA78" s="35"/>
      <c r="AB78" s="35"/>
      <c r="AC78" s="35"/>
      <c r="AD78" s="35"/>
      <c r="AE78" s="35"/>
      <c r="AF78" s="35"/>
      <c r="AG78" s="43"/>
      <c r="AH78" s="35"/>
      <c r="AI78" s="38"/>
      <c r="AJ78" s="35"/>
      <c r="AK78" s="35"/>
      <c r="AL78" s="35"/>
      <c r="AM78" s="35"/>
      <c r="AN78" s="35"/>
      <c r="AO78" s="35"/>
      <c r="AP78" s="35"/>
      <c r="AQ78" s="35"/>
      <c r="AR78" s="39"/>
      <c r="AS78" s="35"/>
      <c r="AT78" s="32"/>
      <c r="AU78" s="1"/>
      <c r="AV78" s="1"/>
      <c r="AW78" s="1"/>
      <c r="AX78" s="1"/>
      <c r="AY78" s="1"/>
      <c r="AZ78" s="1"/>
      <c r="BA78" s="1"/>
      <c r="BB78" s="1"/>
      <c r="BC78" s="33"/>
      <c r="BD78" s="35"/>
      <c r="BE78" s="38"/>
      <c r="BF78" s="35"/>
      <c r="BG78" s="35"/>
      <c r="BH78" s="35"/>
      <c r="BI78" s="35"/>
      <c r="BJ78" s="35"/>
      <c r="BK78" s="35"/>
      <c r="BL78" s="35"/>
      <c r="BM78" s="35"/>
      <c r="BN78" s="39"/>
    </row>
    <row r="79" spans="2:66" s="13" customFormat="1" ht="9" customHeight="1" x14ac:dyDescent="0.25">
      <c r="B79" s="42"/>
      <c r="C79" s="35"/>
      <c r="D79" s="35"/>
      <c r="E79" s="35"/>
      <c r="F79" s="35"/>
      <c r="G79" s="35"/>
      <c r="H79" s="35"/>
      <c r="I79" s="35"/>
      <c r="J79" s="35"/>
      <c r="K79" s="39"/>
      <c r="L79" s="35"/>
      <c r="M79" s="38"/>
      <c r="N79" s="35"/>
      <c r="O79" s="35"/>
      <c r="P79" s="35"/>
      <c r="Q79" s="35"/>
      <c r="R79" s="35"/>
      <c r="S79" s="35"/>
      <c r="T79" s="35"/>
      <c r="U79" s="35"/>
      <c r="V79" s="39"/>
      <c r="W79" s="35"/>
      <c r="X79" s="38"/>
      <c r="Y79" s="35"/>
      <c r="Z79" s="35"/>
      <c r="AA79" s="35"/>
      <c r="AB79" s="35"/>
      <c r="AC79" s="35"/>
      <c r="AD79" s="35"/>
      <c r="AE79" s="35"/>
      <c r="AF79" s="35"/>
      <c r="AG79" s="43"/>
      <c r="AH79" s="35"/>
      <c r="AI79" s="38"/>
      <c r="AJ79" s="35"/>
      <c r="AK79" s="35"/>
      <c r="AL79" s="35"/>
      <c r="AM79" s="35"/>
      <c r="AN79" s="35"/>
      <c r="AO79" s="35"/>
      <c r="AP79" s="35"/>
      <c r="AQ79" s="35"/>
      <c r="AR79" s="39"/>
      <c r="AS79" s="35"/>
      <c r="AT79" s="32"/>
      <c r="AU79" s="1"/>
      <c r="AV79" s="1"/>
      <c r="AW79" s="1"/>
      <c r="AX79" s="1"/>
      <c r="AY79" s="1"/>
      <c r="AZ79" s="1"/>
      <c r="BA79" s="1"/>
      <c r="BB79" s="1"/>
      <c r="BC79" s="33"/>
      <c r="BD79" s="35"/>
      <c r="BE79" s="38"/>
      <c r="BF79" s="35"/>
      <c r="BG79" s="35"/>
      <c r="BH79" s="35"/>
      <c r="BI79" s="35"/>
      <c r="BJ79" s="35"/>
      <c r="BK79" s="35"/>
      <c r="BL79" s="35"/>
      <c r="BM79" s="35"/>
      <c r="BN79" s="39"/>
    </row>
    <row r="80" spans="2:66" s="13" customFormat="1" ht="9" customHeight="1" x14ac:dyDescent="0.25">
      <c r="B80" s="42"/>
      <c r="C80" s="35"/>
      <c r="D80" s="35"/>
      <c r="E80" s="35"/>
      <c r="F80" s="35"/>
      <c r="G80" s="35"/>
      <c r="H80" s="35"/>
      <c r="I80" s="35"/>
      <c r="J80" s="35"/>
      <c r="K80" s="39"/>
      <c r="L80" s="35"/>
      <c r="M80" s="38"/>
      <c r="N80" s="35"/>
      <c r="O80" s="35"/>
      <c r="P80" s="35"/>
      <c r="Q80" s="35"/>
      <c r="R80" s="35"/>
      <c r="S80" s="35"/>
      <c r="T80" s="35"/>
      <c r="U80" s="35"/>
      <c r="V80" s="39"/>
      <c r="W80" s="35"/>
      <c r="X80" s="38"/>
      <c r="Y80" s="35"/>
      <c r="Z80" s="35"/>
      <c r="AA80" s="35"/>
      <c r="AB80" s="35"/>
      <c r="AC80" s="35"/>
      <c r="AD80" s="35"/>
      <c r="AE80" s="35"/>
      <c r="AF80" s="35"/>
      <c r="AG80" s="43"/>
      <c r="AH80" s="35"/>
      <c r="AI80" s="38"/>
      <c r="AJ80" s="35"/>
      <c r="AK80" s="35"/>
      <c r="AL80" s="35"/>
      <c r="AM80" s="35"/>
      <c r="AN80" s="35"/>
      <c r="AO80" s="35"/>
      <c r="AP80" s="35"/>
      <c r="AQ80" s="35"/>
      <c r="AR80" s="39"/>
      <c r="AS80" s="35"/>
      <c r="AT80" s="32"/>
      <c r="AU80" s="1"/>
      <c r="AV80" s="1"/>
      <c r="AW80" s="1"/>
      <c r="AX80" s="1"/>
      <c r="AY80" s="1"/>
      <c r="AZ80" s="1"/>
      <c r="BA80" s="1"/>
      <c r="BB80" s="1"/>
      <c r="BC80" s="33"/>
      <c r="BD80" s="35"/>
      <c r="BE80" s="38"/>
      <c r="BF80" s="35"/>
      <c r="BG80" s="35"/>
      <c r="BH80" s="35"/>
      <c r="BI80" s="35"/>
      <c r="BJ80" s="35"/>
      <c r="BK80" s="35"/>
      <c r="BL80" s="35"/>
      <c r="BM80" s="35"/>
      <c r="BN80" s="39"/>
    </row>
    <row r="81" spans="2:66" s="13" customFormat="1" ht="9" customHeight="1" x14ac:dyDescent="0.25">
      <c r="B81" s="42"/>
      <c r="C81" s="35"/>
      <c r="D81" s="35"/>
      <c r="E81" s="35"/>
      <c r="F81" s="35"/>
      <c r="G81" s="35"/>
      <c r="H81" s="35"/>
      <c r="I81" s="35"/>
      <c r="J81" s="35"/>
      <c r="K81" s="39"/>
      <c r="L81" s="35"/>
      <c r="M81" s="38"/>
      <c r="N81" s="35"/>
      <c r="O81" s="35"/>
      <c r="P81" s="35"/>
      <c r="Q81" s="35"/>
      <c r="R81" s="35"/>
      <c r="S81" s="35"/>
      <c r="T81" s="35"/>
      <c r="U81" s="35"/>
      <c r="V81" s="39"/>
      <c r="W81" s="35"/>
      <c r="X81" s="38"/>
      <c r="Y81" s="35"/>
      <c r="Z81" s="35"/>
      <c r="AA81" s="35"/>
      <c r="AB81" s="35"/>
      <c r="AC81" s="35"/>
      <c r="AD81" s="35"/>
      <c r="AE81" s="35"/>
      <c r="AF81" s="35"/>
      <c r="AG81" s="43"/>
      <c r="AH81" s="35"/>
      <c r="AI81" s="38"/>
      <c r="AJ81" s="35"/>
      <c r="AK81" s="35"/>
      <c r="AL81" s="35"/>
      <c r="AM81" s="35"/>
      <c r="AN81" s="35"/>
      <c r="AO81" s="35"/>
      <c r="AP81" s="35"/>
      <c r="AQ81" s="35"/>
      <c r="AR81" s="39"/>
      <c r="AS81" s="35"/>
      <c r="AT81" s="32"/>
      <c r="AU81" s="1"/>
      <c r="AV81" s="1"/>
      <c r="AW81" s="1"/>
      <c r="AX81" s="1"/>
      <c r="AY81" s="1"/>
      <c r="AZ81" s="1"/>
      <c r="BA81" s="1"/>
      <c r="BB81" s="1"/>
      <c r="BC81" s="33"/>
      <c r="BD81" s="35"/>
      <c r="BE81" s="38"/>
      <c r="BF81" s="35"/>
      <c r="BG81" s="35"/>
      <c r="BH81" s="35"/>
      <c r="BI81" s="35"/>
      <c r="BJ81" s="35"/>
      <c r="BK81" s="35"/>
      <c r="BL81" s="35"/>
      <c r="BM81" s="35"/>
      <c r="BN81" s="39"/>
    </row>
    <row r="82" spans="2:66" s="13" customFormat="1" ht="9" customHeight="1" x14ac:dyDescent="0.25">
      <c r="B82" s="42"/>
      <c r="C82" s="35"/>
      <c r="D82" s="35"/>
      <c r="E82" s="35"/>
      <c r="F82" s="35"/>
      <c r="G82" s="35"/>
      <c r="H82" s="35"/>
      <c r="I82" s="35"/>
      <c r="J82" s="35"/>
      <c r="K82" s="39"/>
      <c r="L82" s="35"/>
      <c r="M82" s="38"/>
      <c r="N82" s="35"/>
      <c r="O82" s="35"/>
      <c r="P82" s="35"/>
      <c r="Q82" s="35"/>
      <c r="R82" s="35"/>
      <c r="S82" s="35"/>
      <c r="T82" s="35"/>
      <c r="U82" s="35"/>
      <c r="V82" s="39"/>
      <c r="W82" s="35"/>
      <c r="X82" s="38"/>
      <c r="Y82" s="35"/>
      <c r="Z82" s="35"/>
      <c r="AA82" s="35"/>
      <c r="AB82" s="35"/>
      <c r="AC82" s="35"/>
      <c r="AD82" s="35"/>
      <c r="AE82" s="35"/>
      <c r="AF82" s="35"/>
      <c r="AG82" s="43"/>
      <c r="AH82" s="35"/>
      <c r="AI82" s="38"/>
      <c r="AJ82" s="35"/>
      <c r="AK82" s="35"/>
      <c r="AL82" s="35"/>
      <c r="AM82" s="35"/>
      <c r="AN82" s="35"/>
      <c r="AO82" s="35"/>
      <c r="AP82" s="35"/>
      <c r="AQ82" s="35"/>
      <c r="AR82" s="39"/>
      <c r="AS82" s="35"/>
      <c r="AT82" s="32"/>
      <c r="AU82" s="1"/>
      <c r="AV82" s="1"/>
      <c r="AW82" s="1"/>
      <c r="AX82" s="1"/>
      <c r="AY82" s="1"/>
      <c r="AZ82" s="1"/>
      <c r="BA82" s="1"/>
      <c r="BB82" s="1"/>
      <c r="BC82" s="33"/>
      <c r="BD82" s="35"/>
      <c r="BE82" s="38"/>
      <c r="BF82" s="35"/>
      <c r="BG82" s="35"/>
      <c r="BH82" s="35"/>
      <c r="BI82" s="35"/>
      <c r="BJ82" s="35"/>
      <c r="BK82" s="35"/>
      <c r="BL82" s="35"/>
      <c r="BM82" s="35"/>
      <c r="BN82" s="39"/>
    </row>
    <row r="83" spans="2:66" s="13" customFormat="1" ht="9" customHeight="1" x14ac:dyDescent="0.25">
      <c r="B83" s="42"/>
      <c r="C83" s="35"/>
      <c r="D83" s="35"/>
      <c r="E83" s="35"/>
      <c r="F83" s="35"/>
      <c r="G83" s="35"/>
      <c r="H83" s="35"/>
      <c r="I83" s="35"/>
      <c r="J83" s="35"/>
      <c r="K83" s="39"/>
      <c r="L83" s="35"/>
      <c r="M83" s="38"/>
      <c r="N83" s="35"/>
      <c r="O83" s="35"/>
      <c r="P83" s="35"/>
      <c r="Q83" s="35"/>
      <c r="R83" s="35"/>
      <c r="S83" s="35"/>
      <c r="T83" s="35"/>
      <c r="U83" s="35"/>
      <c r="V83" s="39"/>
      <c r="W83" s="35"/>
      <c r="X83" s="38"/>
      <c r="Y83" s="35"/>
      <c r="Z83" s="35"/>
      <c r="AA83" s="35"/>
      <c r="AB83" s="35"/>
      <c r="AC83" s="35"/>
      <c r="AD83" s="35"/>
      <c r="AE83" s="35"/>
      <c r="AF83" s="35"/>
      <c r="AG83" s="43"/>
      <c r="AH83" s="35"/>
      <c r="AI83" s="38"/>
      <c r="AJ83" s="35"/>
      <c r="AK83" s="35"/>
      <c r="AL83" s="35"/>
      <c r="AM83" s="35"/>
      <c r="AN83" s="35"/>
      <c r="AO83" s="35"/>
      <c r="AP83" s="35"/>
      <c r="AQ83" s="35"/>
      <c r="AR83" s="39"/>
      <c r="AS83" s="35"/>
      <c r="AT83" s="32"/>
      <c r="AU83" s="1"/>
      <c r="AV83" s="1"/>
      <c r="AW83" s="1"/>
      <c r="AX83" s="1"/>
      <c r="AY83" s="1"/>
      <c r="AZ83" s="1"/>
      <c r="BA83" s="1"/>
      <c r="BB83" s="1"/>
      <c r="BC83" s="33"/>
      <c r="BD83" s="35"/>
      <c r="BE83" s="38"/>
      <c r="BF83" s="35"/>
      <c r="BG83" s="35"/>
      <c r="BH83" s="35"/>
      <c r="BI83" s="35"/>
      <c r="BJ83" s="35"/>
      <c r="BK83" s="35"/>
      <c r="BL83" s="35"/>
      <c r="BM83" s="35"/>
      <c r="BN83" s="39"/>
    </row>
    <row r="84" spans="2:66" s="13" customFormat="1" ht="9" customHeight="1" x14ac:dyDescent="0.25">
      <c r="B84" s="42"/>
      <c r="C84" s="35"/>
      <c r="D84" s="35"/>
      <c r="E84" s="35"/>
      <c r="F84" s="35"/>
      <c r="G84" s="35"/>
      <c r="H84" s="35"/>
      <c r="I84" s="35"/>
      <c r="J84" s="35"/>
      <c r="K84" s="39"/>
      <c r="L84" s="35"/>
      <c r="M84" s="38"/>
      <c r="N84" s="35"/>
      <c r="O84" s="35"/>
      <c r="P84" s="35"/>
      <c r="Q84" s="35"/>
      <c r="R84" s="35"/>
      <c r="S84" s="35"/>
      <c r="T84" s="35"/>
      <c r="U84" s="35"/>
      <c r="V84" s="39"/>
      <c r="W84" s="35"/>
      <c r="X84" s="38"/>
      <c r="Y84" s="35"/>
      <c r="Z84" s="35"/>
      <c r="AA84" s="35"/>
      <c r="AB84" s="35"/>
      <c r="AC84" s="35"/>
      <c r="AD84" s="35"/>
      <c r="AE84" s="35"/>
      <c r="AF84" s="35"/>
      <c r="AG84" s="43"/>
      <c r="AH84" s="35"/>
      <c r="AI84" s="38"/>
      <c r="AJ84" s="35"/>
      <c r="AK84" s="35"/>
      <c r="AL84" s="35"/>
      <c r="AM84" s="35"/>
      <c r="AN84" s="35"/>
      <c r="AO84" s="35"/>
      <c r="AP84" s="35"/>
      <c r="AQ84" s="35"/>
      <c r="AR84" s="39"/>
      <c r="AS84" s="35"/>
      <c r="AT84" s="38"/>
      <c r="AU84" s="35"/>
      <c r="AV84" s="35"/>
      <c r="AW84" s="35"/>
      <c r="AX84" s="35"/>
      <c r="AY84" s="35"/>
      <c r="AZ84" s="35"/>
      <c r="BA84" s="35"/>
      <c r="BB84" s="35"/>
      <c r="BC84" s="39"/>
      <c r="BD84" s="35"/>
      <c r="BE84" s="38"/>
      <c r="BF84" s="35"/>
      <c r="BG84" s="35"/>
      <c r="BH84" s="35"/>
      <c r="BI84" s="35"/>
      <c r="BJ84" s="35"/>
      <c r="BK84" s="35"/>
      <c r="BL84" s="35"/>
      <c r="BM84" s="35"/>
      <c r="BN84" s="39"/>
    </row>
    <row r="85" spans="2:66" s="13" customFormat="1" ht="9" customHeight="1" x14ac:dyDescent="0.25">
      <c r="B85" s="42"/>
      <c r="C85" s="35"/>
      <c r="D85" s="35"/>
      <c r="E85" s="35"/>
      <c r="F85" s="35"/>
      <c r="G85" s="35"/>
      <c r="H85" s="35"/>
      <c r="I85" s="35"/>
      <c r="J85" s="35"/>
      <c r="K85" s="39"/>
      <c r="L85" s="35"/>
      <c r="M85" s="354"/>
      <c r="N85" s="344"/>
      <c r="O85" s="344"/>
      <c r="P85" s="344"/>
      <c r="Q85" s="355"/>
      <c r="R85" s="356" t="s">
        <v>60</v>
      </c>
      <c r="S85" s="335"/>
      <c r="T85" s="356" t="s">
        <v>94</v>
      </c>
      <c r="U85" s="319"/>
      <c r="V85" s="320"/>
      <c r="W85" s="35"/>
      <c r="X85" s="38"/>
      <c r="Y85" s="35"/>
      <c r="Z85" s="35"/>
      <c r="AA85" s="35"/>
      <c r="AB85" s="35"/>
      <c r="AC85" s="357" t="s">
        <v>60</v>
      </c>
      <c r="AD85" s="358"/>
      <c r="AE85" s="357" t="s">
        <v>94</v>
      </c>
      <c r="AF85" s="359"/>
      <c r="AG85" s="360"/>
      <c r="AH85" s="35"/>
      <c r="AI85" s="40"/>
      <c r="AJ85" s="35"/>
      <c r="AK85" s="35"/>
      <c r="AL85" s="35"/>
      <c r="AM85" s="35"/>
      <c r="AN85" s="35"/>
      <c r="AO85" s="44"/>
      <c r="AP85" s="44"/>
      <c r="AQ85" s="44"/>
      <c r="AR85" s="45"/>
      <c r="AS85" s="35"/>
      <c r="AT85" s="32"/>
      <c r="AU85" s="1"/>
      <c r="AV85" s="1"/>
      <c r="AW85" s="1"/>
      <c r="AX85" s="1"/>
      <c r="AY85" s="315" t="s">
        <v>60</v>
      </c>
      <c r="AZ85" s="317"/>
      <c r="BA85" s="318" t="s">
        <v>95</v>
      </c>
      <c r="BB85" s="319"/>
      <c r="BC85" s="320"/>
      <c r="BD85" s="35"/>
      <c r="BE85" s="38"/>
      <c r="BF85" s="35"/>
      <c r="BG85" s="35"/>
      <c r="BH85" s="35"/>
      <c r="BI85" s="35"/>
      <c r="BJ85" s="35"/>
      <c r="BK85" s="35"/>
      <c r="BL85" s="35"/>
      <c r="BM85" s="35"/>
      <c r="BN85" s="39"/>
    </row>
    <row r="86" spans="2:66" s="13" customFormat="1" ht="9" customHeight="1" x14ac:dyDescent="0.25">
      <c r="B86" s="333" t="s">
        <v>96</v>
      </c>
      <c r="C86" s="313"/>
      <c r="D86" s="313"/>
      <c r="E86" s="313"/>
      <c r="F86" s="313"/>
      <c r="G86" s="313"/>
      <c r="H86" s="313"/>
      <c r="I86" s="313"/>
      <c r="J86" s="313"/>
      <c r="K86" s="314"/>
      <c r="L86" s="35"/>
      <c r="M86" s="308" t="s">
        <v>97</v>
      </c>
      <c r="N86" s="308"/>
      <c r="O86" s="308"/>
      <c r="P86" s="308"/>
      <c r="Q86" s="308"/>
      <c r="R86" s="363">
        <f>CEILING(1411*B3,1)</f>
        <v>2681</v>
      </c>
      <c r="S86" s="363"/>
      <c r="T86" s="363">
        <f>CEILING(1857*B3,1)</f>
        <v>3529</v>
      </c>
      <c r="U86" s="363"/>
      <c r="V86" s="363"/>
      <c r="W86" s="3"/>
      <c r="X86" s="338" t="s">
        <v>98</v>
      </c>
      <c r="Y86" s="339"/>
      <c r="Z86" s="339"/>
      <c r="AA86" s="339"/>
      <c r="AB86" s="340"/>
      <c r="AC86" s="341">
        <f>CEILING(1846*B3,1)</f>
        <v>3508</v>
      </c>
      <c r="AD86" s="343"/>
      <c r="AE86" s="341">
        <f>CEILING(3080*B3,1)</f>
        <v>5852</v>
      </c>
      <c r="AF86" s="342"/>
      <c r="AG86" s="343"/>
      <c r="AH86" s="35"/>
      <c r="AI86" s="38"/>
      <c r="AJ86" s="35"/>
      <c r="AK86" s="35"/>
      <c r="AL86" s="35"/>
      <c r="AM86" s="35"/>
      <c r="AN86" s="46"/>
      <c r="AO86" s="330" t="s">
        <v>60</v>
      </c>
      <c r="AP86" s="331"/>
      <c r="AQ86" s="331"/>
      <c r="AR86" s="332"/>
      <c r="AS86" s="35"/>
      <c r="AT86" s="308" t="s">
        <v>99</v>
      </c>
      <c r="AU86" s="308"/>
      <c r="AV86" s="308"/>
      <c r="AW86" s="308"/>
      <c r="AX86" s="308"/>
      <c r="AY86" s="309">
        <f>CEILING(1378*B3,1)</f>
        <v>2619</v>
      </c>
      <c r="AZ86" s="309"/>
      <c r="BA86" s="309">
        <f>CEILING(2165*B3,1)</f>
        <v>4114</v>
      </c>
      <c r="BB86" s="309"/>
      <c r="BC86" s="309"/>
      <c r="BD86" s="35"/>
      <c r="BE86" s="38"/>
      <c r="BF86" s="35"/>
      <c r="BG86" s="35"/>
      <c r="BH86" s="35"/>
      <c r="BI86" s="35"/>
      <c r="BJ86" s="315" t="s">
        <v>60</v>
      </c>
      <c r="BK86" s="316"/>
      <c r="BL86" s="315" t="s">
        <v>100</v>
      </c>
      <c r="BM86" s="316"/>
      <c r="BN86" s="317"/>
    </row>
    <row r="87" spans="2:66" s="13" customFormat="1" ht="9" customHeight="1" x14ac:dyDescent="0.25">
      <c r="B87" s="308" t="s">
        <v>101</v>
      </c>
      <c r="C87" s="308"/>
      <c r="D87" s="308"/>
      <c r="E87" s="308"/>
      <c r="F87" s="308"/>
      <c r="G87" s="308"/>
      <c r="H87" s="341">
        <f>CEILING(1454*B3,1)</f>
        <v>2763</v>
      </c>
      <c r="I87" s="342"/>
      <c r="J87" s="342"/>
      <c r="K87" s="343"/>
      <c r="L87" s="2"/>
      <c r="M87" s="308" t="s">
        <v>102</v>
      </c>
      <c r="N87" s="308"/>
      <c r="O87" s="308"/>
      <c r="P87" s="308"/>
      <c r="Q87" s="308"/>
      <c r="R87" s="363">
        <f>CEILING(1781*B3,1)</f>
        <v>3384</v>
      </c>
      <c r="S87" s="363"/>
      <c r="T87" s="363">
        <f>CEILING(2259*B3,1)</f>
        <v>4293</v>
      </c>
      <c r="U87" s="363"/>
      <c r="V87" s="363"/>
      <c r="W87" s="2"/>
      <c r="X87" s="338" t="s">
        <v>103</v>
      </c>
      <c r="Y87" s="339"/>
      <c r="Z87" s="339"/>
      <c r="AA87" s="339"/>
      <c r="AB87" s="340"/>
      <c r="AC87" s="341">
        <f>CEILING(2258*B3,1)</f>
        <v>4291</v>
      </c>
      <c r="AD87" s="343"/>
      <c r="AE87" s="341">
        <f>CEILING(3670*B3,1)</f>
        <v>6973</v>
      </c>
      <c r="AF87" s="342"/>
      <c r="AG87" s="343"/>
      <c r="AH87" s="25"/>
      <c r="AI87" s="338" t="s">
        <v>104</v>
      </c>
      <c r="AJ87" s="339"/>
      <c r="AK87" s="339"/>
      <c r="AL87" s="339"/>
      <c r="AM87" s="339"/>
      <c r="AN87" s="340"/>
      <c r="AO87" s="341">
        <f>CEILING(1178*B3,1)</f>
        <v>2239</v>
      </c>
      <c r="AP87" s="342"/>
      <c r="AQ87" s="342"/>
      <c r="AR87" s="343"/>
      <c r="AS87" s="2"/>
      <c r="AT87" s="308" t="s">
        <v>105</v>
      </c>
      <c r="AU87" s="308"/>
      <c r="AV87" s="308"/>
      <c r="AW87" s="308"/>
      <c r="AX87" s="308"/>
      <c r="AY87" s="309">
        <f>CEILING(1467*B3,1)</f>
        <v>2788</v>
      </c>
      <c r="AZ87" s="309"/>
      <c r="BA87" s="309">
        <f>CEILING(2222*B3,1)</f>
        <v>4222</v>
      </c>
      <c r="BB87" s="309"/>
      <c r="BC87" s="309"/>
      <c r="BD87" s="2"/>
      <c r="BE87" s="308" t="s">
        <v>106</v>
      </c>
      <c r="BF87" s="308"/>
      <c r="BG87" s="308"/>
      <c r="BH87" s="308"/>
      <c r="BI87" s="308"/>
      <c r="BJ87" s="309">
        <f>CEILING(562*B3,1)</f>
        <v>1068</v>
      </c>
      <c r="BK87" s="309"/>
      <c r="BL87" s="309">
        <f>CEILING(615*B3,1)</f>
        <v>1169</v>
      </c>
      <c r="BM87" s="309"/>
      <c r="BN87" s="309"/>
    </row>
    <row r="88" spans="2:66" s="13" customFormat="1" ht="9" customHeight="1" x14ac:dyDescent="0.25">
      <c r="B88" s="344"/>
      <c r="C88" s="344"/>
      <c r="D88" s="344"/>
      <c r="E88" s="313"/>
      <c r="F88" s="313"/>
      <c r="G88" s="313"/>
      <c r="H88" s="313"/>
      <c r="I88" s="313"/>
      <c r="J88" s="313"/>
      <c r="K88" s="313"/>
      <c r="L88" s="35"/>
      <c r="M88" s="344"/>
      <c r="N88" s="344"/>
      <c r="O88" s="344"/>
      <c r="P88" s="313"/>
      <c r="Q88" s="313"/>
      <c r="R88" s="313"/>
      <c r="S88" s="313"/>
      <c r="T88" s="313"/>
      <c r="U88" s="313"/>
      <c r="V88" s="313"/>
      <c r="W88" s="35"/>
      <c r="X88" s="344"/>
      <c r="Y88" s="344"/>
      <c r="Z88" s="344"/>
      <c r="AA88" s="313"/>
      <c r="AB88" s="313"/>
      <c r="AC88" s="313"/>
      <c r="AD88" s="313"/>
      <c r="AE88" s="313"/>
      <c r="AF88" s="313"/>
      <c r="AG88" s="313"/>
      <c r="AH88" s="47"/>
      <c r="AI88" s="322" t="s">
        <v>212</v>
      </c>
      <c r="AJ88" s="322"/>
      <c r="AK88" s="323"/>
      <c r="AL88" s="324" t="s">
        <v>213</v>
      </c>
      <c r="AM88" s="325"/>
      <c r="AN88" s="325"/>
      <c r="AO88" s="325"/>
      <c r="AP88" s="325"/>
      <c r="AQ88" s="325"/>
      <c r="AR88" s="326"/>
      <c r="AS88" s="35"/>
      <c r="AT88" s="321" t="s">
        <v>214</v>
      </c>
      <c r="AU88" s="322"/>
      <c r="AV88" s="323"/>
      <c r="AW88" s="324" t="s">
        <v>213</v>
      </c>
      <c r="AX88" s="325"/>
      <c r="AY88" s="325"/>
      <c r="AZ88" s="325"/>
      <c r="BA88" s="325"/>
      <c r="BB88" s="325"/>
      <c r="BC88" s="326"/>
      <c r="BD88" s="35"/>
      <c r="BE88" s="321" t="s">
        <v>215</v>
      </c>
      <c r="BF88" s="322"/>
      <c r="BG88" s="323"/>
      <c r="BH88" s="324" t="s">
        <v>213</v>
      </c>
      <c r="BI88" s="325"/>
      <c r="BJ88" s="325"/>
      <c r="BK88" s="325"/>
      <c r="BL88" s="325"/>
      <c r="BM88" s="325"/>
      <c r="BN88" s="326"/>
    </row>
    <row r="89" spans="2:66" s="13" customFormat="1" ht="9" customHeight="1" x14ac:dyDescent="0.25">
      <c r="B89" s="313"/>
      <c r="C89" s="313"/>
      <c r="D89" s="313"/>
      <c r="E89" s="313"/>
      <c r="F89" s="313"/>
      <c r="G89" s="313"/>
      <c r="H89" s="313"/>
      <c r="I89" s="313"/>
      <c r="J89" s="313"/>
      <c r="K89" s="313"/>
      <c r="L89" s="35"/>
      <c r="M89" s="313"/>
      <c r="N89" s="313"/>
      <c r="O89" s="313"/>
      <c r="P89" s="313"/>
      <c r="Q89" s="313"/>
      <c r="R89" s="313"/>
      <c r="S89" s="313"/>
      <c r="T89" s="313"/>
      <c r="U89" s="313"/>
      <c r="V89" s="313"/>
      <c r="W89" s="35"/>
      <c r="X89" s="313"/>
      <c r="Y89" s="313"/>
      <c r="Z89" s="313"/>
      <c r="AA89" s="313"/>
      <c r="AB89" s="313"/>
      <c r="AC89" s="313"/>
      <c r="AD89" s="313"/>
      <c r="AE89" s="313"/>
      <c r="AF89" s="313"/>
      <c r="AG89" s="313"/>
      <c r="AH89" s="43"/>
      <c r="AI89" s="313" t="s">
        <v>218</v>
      </c>
      <c r="AJ89" s="313"/>
      <c r="AK89" s="313"/>
      <c r="AL89" s="313"/>
      <c r="AM89" s="313"/>
      <c r="AN89" s="313"/>
      <c r="AO89" s="313"/>
      <c r="AP89" s="313"/>
      <c r="AQ89" s="313"/>
      <c r="AR89" s="314"/>
      <c r="AS89" s="35"/>
      <c r="AT89" s="321" t="s">
        <v>219</v>
      </c>
      <c r="AU89" s="322"/>
      <c r="AV89" s="323"/>
      <c r="AW89" s="324" t="s">
        <v>220</v>
      </c>
      <c r="AX89" s="325"/>
      <c r="AY89" s="325"/>
      <c r="AZ89" s="325"/>
      <c r="BA89" s="325"/>
      <c r="BB89" s="325"/>
      <c r="BC89" s="326"/>
      <c r="BD89" s="35"/>
      <c r="BE89" s="312" t="s">
        <v>221</v>
      </c>
      <c r="BF89" s="313"/>
      <c r="BG89" s="313"/>
      <c r="BH89" s="313"/>
      <c r="BI89" s="313"/>
      <c r="BJ89" s="313"/>
      <c r="BK89" s="313"/>
      <c r="BL89" s="313"/>
      <c r="BM89" s="313"/>
      <c r="BN89" s="314"/>
    </row>
    <row r="90" spans="2:66" s="13" customFormat="1" ht="9" customHeight="1" x14ac:dyDescent="0.2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43"/>
      <c r="AI90" s="313" t="s">
        <v>222</v>
      </c>
      <c r="AJ90" s="313"/>
      <c r="AK90" s="313"/>
      <c r="AL90" s="313"/>
      <c r="AM90" s="313"/>
      <c r="AN90" s="313"/>
      <c r="AO90" s="313"/>
      <c r="AP90" s="313"/>
      <c r="AQ90" s="313"/>
      <c r="AR90" s="314"/>
      <c r="AS90" s="35"/>
      <c r="AT90" s="38"/>
      <c r="AU90" s="35"/>
      <c r="AV90" s="35"/>
      <c r="AW90" s="35"/>
      <c r="AX90" s="35"/>
      <c r="AY90" s="35"/>
      <c r="AZ90" s="35"/>
      <c r="BA90" s="35"/>
      <c r="BB90" s="35"/>
      <c r="BC90" s="39"/>
      <c r="BD90" s="35"/>
      <c r="BE90" s="38"/>
      <c r="BF90" s="35"/>
      <c r="BG90" s="35"/>
      <c r="BH90" s="35"/>
      <c r="BI90" s="35"/>
      <c r="BJ90" s="35"/>
      <c r="BK90" s="35"/>
      <c r="BL90" s="35"/>
      <c r="BM90" s="35"/>
      <c r="BN90" s="39"/>
    </row>
    <row r="91" spans="2:66" s="13" customFormat="1" ht="9" customHeight="1" x14ac:dyDescent="0.2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43"/>
      <c r="AI91" s="35"/>
      <c r="AJ91" s="35"/>
      <c r="AK91" s="35"/>
      <c r="AL91" s="35"/>
      <c r="AM91" s="35"/>
      <c r="AN91" s="35"/>
      <c r="AO91" s="35"/>
      <c r="AP91" s="35"/>
      <c r="AQ91" s="35"/>
      <c r="AR91" s="39"/>
      <c r="AS91" s="35"/>
      <c r="AT91" s="38"/>
      <c r="AU91" s="35"/>
      <c r="AV91" s="35"/>
      <c r="AW91" s="35"/>
      <c r="AX91" s="35"/>
      <c r="AY91" s="35"/>
      <c r="AZ91" s="35"/>
      <c r="BA91" s="35"/>
      <c r="BB91" s="35"/>
      <c r="BC91" s="39"/>
      <c r="BD91" s="35"/>
      <c r="BE91" s="38"/>
      <c r="BF91" s="35"/>
      <c r="BG91" s="35"/>
      <c r="BH91" s="35"/>
      <c r="BI91" s="35"/>
      <c r="BJ91" s="35"/>
      <c r="BK91" s="35"/>
      <c r="BL91" s="35"/>
      <c r="BM91" s="35"/>
      <c r="BN91" s="39"/>
    </row>
    <row r="92" spans="2:66" s="13" customFormat="1" ht="9" customHeight="1" x14ac:dyDescent="0.2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43"/>
      <c r="AI92" s="35"/>
      <c r="AJ92" s="35"/>
      <c r="AK92" s="35"/>
      <c r="AL92" s="35"/>
      <c r="AM92" s="35"/>
      <c r="AN92" s="35"/>
      <c r="AO92" s="35"/>
      <c r="AP92" s="35"/>
      <c r="AQ92" s="35"/>
      <c r="AR92" s="39"/>
      <c r="AS92" s="35"/>
      <c r="AT92" s="38"/>
      <c r="AU92" s="35"/>
      <c r="AV92" s="35"/>
      <c r="AW92" s="35"/>
      <c r="AX92" s="35"/>
      <c r="AY92" s="35"/>
      <c r="AZ92" s="35"/>
      <c r="BA92" s="35"/>
      <c r="BB92" s="35"/>
      <c r="BC92" s="39"/>
      <c r="BD92" s="35"/>
      <c r="BE92" s="38"/>
      <c r="BF92" s="35"/>
      <c r="BG92" s="35"/>
      <c r="BH92" s="35"/>
      <c r="BI92" s="35"/>
      <c r="BJ92" s="35"/>
      <c r="BK92" s="35"/>
      <c r="BL92" s="35"/>
      <c r="BM92" s="35"/>
      <c r="BN92" s="39"/>
    </row>
    <row r="93" spans="2:66" s="13" customFormat="1" ht="9" customHeight="1" x14ac:dyDescent="0.2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43"/>
      <c r="AI93" s="35"/>
      <c r="AJ93" s="35"/>
      <c r="AK93" s="35"/>
      <c r="AL93" s="35"/>
      <c r="AM93" s="35"/>
      <c r="AN93" s="35"/>
      <c r="AO93" s="35"/>
      <c r="AP93" s="35"/>
      <c r="AQ93" s="35"/>
      <c r="AR93" s="39"/>
      <c r="AS93" s="35"/>
      <c r="AT93" s="38"/>
      <c r="AU93" s="35"/>
      <c r="AV93" s="35"/>
      <c r="AW93" s="35"/>
      <c r="AX93" s="35"/>
      <c r="AY93" s="35"/>
      <c r="AZ93" s="35"/>
      <c r="BA93" s="35"/>
      <c r="BB93" s="35"/>
      <c r="BC93" s="39"/>
      <c r="BD93" s="35"/>
      <c r="BE93" s="38"/>
      <c r="BF93" s="35"/>
      <c r="BG93" s="35"/>
      <c r="BH93" s="35"/>
      <c r="BI93" s="35"/>
      <c r="BJ93" s="35"/>
      <c r="BK93" s="35"/>
      <c r="BL93" s="35"/>
      <c r="BM93" s="35"/>
      <c r="BN93" s="39"/>
    </row>
    <row r="94" spans="2:66" s="13" customFormat="1" ht="9" customHeight="1" x14ac:dyDescent="0.2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43"/>
      <c r="AI94" s="35"/>
      <c r="AJ94" s="35"/>
      <c r="AK94" s="35"/>
      <c r="AL94" s="35"/>
      <c r="AM94" s="35"/>
      <c r="AN94" s="35"/>
      <c r="AO94" s="35"/>
      <c r="AP94" s="35"/>
      <c r="AQ94" s="35"/>
      <c r="AR94" s="39"/>
      <c r="AS94" s="35"/>
      <c r="AT94" s="38"/>
      <c r="AU94" s="35"/>
      <c r="AV94" s="35"/>
      <c r="AW94" s="35"/>
      <c r="AX94" s="35"/>
      <c r="AY94" s="35"/>
      <c r="AZ94" s="35"/>
      <c r="BA94" s="35"/>
      <c r="BB94" s="35"/>
      <c r="BC94" s="39"/>
      <c r="BD94" s="35"/>
      <c r="BE94" s="38"/>
      <c r="BF94" s="35"/>
      <c r="BG94" s="35"/>
      <c r="BH94" s="35"/>
      <c r="BI94" s="35"/>
      <c r="BJ94" s="35"/>
      <c r="BK94" s="35"/>
      <c r="BL94" s="35"/>
      <c r="BM94" s="35"/>
      <c r="BN94" s="39"/>
    </row>
    <row r="95" spans="2:66" s="13" customFormat="1" ht="9" customHeight="1" x14ac:dyDescent="0.2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43"/>
      <c r="AI95" s="35"/>
      <c r="AJ95" s="35"/>
      <c r="AK95" s="35"/>
      <c r="AL95" s="35"/>
      <c r="AM95" s="35"/>
      <c r="AN95" s="35"/>
      <c r="AO95" s="35"/>
      <c r="AP95" s="35"/>
      <c r="AQ95" s="35"/>
      <c r="AR95" s="39"/>
      <c r="AS95" s="35"/>
      <c r="AT95" s="38"/>
      <c r="AU95" s="35"/>
      <c r="AV95" s="35"/>
      <c r="AW95" s="35"/>
      <c r="AX95" s="35"/>
      <c r="AY95" s="35"/>
      <c r="AZ95" s="35"/>
      <c r="BA95" s="35"/>
      <c r="BB95" s="35"/>
      <c r="BC95" s="39"/>
      <c r="BD95" s="35"/>
      <c r="BE95" s="38"/>
      <c r="BF95" s="35"/>
      <c r="BG95" s="35"/>
      <c r="BH95" s="35"/>
      <c r="BI95" s="35"/>
      <c r="BJ95" s="35"/>
      <c r="BK95" s="35"/>
      <c r="BL95" s="35"/>
      <c r="BM95" s="35"/>
      <c r="BN95" s="39"/>
    </row>
    <row r="96" spans="2:66" s="13" customFormat="1" ht="9" customHeight="1" x14ac:dyDescent="0.2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43"/>
      <c r="AI96" s="35"/>
      <c r="AJ96" s="35"/>
      <c r="AK96" s="35"/>
      <c r="AL96" s="35"/>
      <c r="AM96" s="35"/>
      <c r="AN96" s="35"/>
      <c r="AO96" s="35"/>
      <c r="AP96" s="35"/>
      <c r="AQ96" s="35"/>
      <c r="AR96" s="39"/>
      <c r="AS96" s="35"/>
      <c r="AT96" s="38"/>
      <c r="AU96" s="35"/>
      <c r="AV96" s="35"/>
      <c r="AW96" s="35"/>
      <c r="AX96" s="35"/>
      <c r="AY96" s="35"/>
      <c r="AZ96" s="35"/>
      <c r="BA96" s="35"/>
      <c r="BB96" s="35"/>
      <c r="BC96" s="39"/>
      <c r="BD96" s="35"/>
      <c r="BE96" s="38"/>
      <c r="BF96" s="35"/>
      <c r="BG96" s="35"/>
      <c r="BH96" s="35"/>
      <c r="BI96" s="35"/>
      <c r="BJ96" s="35"/>
      <c r="BK96" s="35"/>
      <c r="BL96" s="35"/>
      <c r="BM96" s="35"/>
      <c r="BN96" s="39"/>
    </row>
    <row r="97" spans="1:66" s="13" customFormat="1" ht="9" customHeight="1" x14ac:dyDescent="0.2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43"/>
      <c r="AI97" s="35"/>
      <c r="AJ97" s="35"/>
      <c r="AK97" s="35"/>
      <c r="AL97" s="35"/>
      <c r="AM97" s="35"/>
      <c r="AN97" s="35"/>
      <c r="AO97" s="35"/>
      <c r="AP97" s="35"/>
      <c r="AQ97" s="35"/>
      <c r="AR97" s="39"/>
      <c r="AS97" s="35"/>
      <c r="AT97" s="38" t="s">
        <v>223</v>
      </c>
      <c r="AU97" s="35"/>
      <c r="AV97" s="35"/>
      <c r="AW97" s="35"/>
      <c r="AX97" s="35"/>
      <c r="AY97" s="35"/>
      <c r="AZ97" s="35"/>
      <c r="BA97" s="35"/>
      <c r="BB97" s="35"/>
      <c r="BC97" s="39"/>
      <c r="BD97" s="35"/>
      <c r="BE97" s="38"/>
      <c r="BF97" s="35"/>
      <c r="BG97" s="35"/>
      <c r="BH97" s="35"/>
      <c r="BI97" s="35"/>
      <c r="BJ97" s="35"/>
      <c r="BK97" s="35"/>
      <c r="BL97" s="35"/>
      <c r="BM97" s="35"/>
      <c r="BN97" s="39"/>
    </row>
    <row r="98" spans="1:66" s="13" customFormat="1" ht="9" customHeight="1" x14ac:dyDescent="0.2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43"/>
      <c r="AI98" s="35"/>
      <c r="AJ98" s="35"/>
      <c r="AK98" s="35"/>
      <c r="AL98" s="35"/>
      <c r="AM98" s="35"/>
      <c r="AN98" s="35"/>
      <c r="AO98" s="35"/>
      <c r="AP98" s="35"/>
      <c r="AQ98" s="35"/>
      <c r="AR98" s="39"/>
      <c r="AS98" s="35"/>
      <c r="AT98" s="38"/>
      <c r="AU98" s="35"/>
      <c r="AV98" s="35"/>
      <c r="AW98" s="35"/>
      <c r="AX98" s="35"/>
      <c r="AY98" s="315" t="s">
        <v>60</v>
      </c>
      <c r="AZ98" s="317"/>
      <c r="BA98" s="315"/>
      <c r="BB98" s="316"/>
      <c r="BC98" s="317"/>
      <c r="BD98" s="35"/>
      <c r="BE98" s="38"/>
      <c r="BF98" s="35"/>
      <c r="BG98" s="35"/>
      <c r="BH98" s="35"/>
      <c r="BI98" s="35"/>
      <c r="BJ98" s="35"/>
      <c r="BK98" s="35"/>
      <c r="BL98" s="35"/>
      <c r="BM98" s="35"/>
      <c r="BN98" s="39"/>
    </row>
    <row r="99" spans="1:66" s="13" customFormat="1" ht="9" customHeight="1" x14ac:dyDescent="0.2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43"/>
      <c r="AI99" s="35"/>
      <c r="AJ99" s="35"/>
      <c r="AK99" s="35"/>
      <c r="AL99" s="35"/>
      <c r="AM99" s="35"/>
      <c r="AN99" s="35"/>
      <c r="AO99" s="35"/>
      <c r="AP99" s="35"/>
      <c r="AQ99" s="35"/>
      <c r="AR99" s="39"/>
      <c r="AS99" s="35"/>
      <c r="AT99" s="310" t="s">
        <v>82</v>
      </c>
      <c r="AU99" s="310"/>
      <c r="AV99" s="310"/>
      <c r="AW99" s="310"/>
      <c r="AX99" s="310"/>
      <c r="AY99" s="311">
        <f>636*B3</f>
        <v>1208.3999999999999</v>
      </c>
      <c r="AZ99" s="311"/>
      <c r="BA99" s="311"/>
      <c r="BB99" s="311"/>
      <c r="BC99" s="311"/>
      <c r="BD99" s="35"/>
      <c r="BE99" s="38"/>
      <c r="BF99" s="35"/>
      <c r="BG99" s="35"/>
      <c r="BH99" s="35"/>
      <c r="BI99" s="35"/>
      <c r="BJ99" s="315" t="s">
        <v>60</v>
      </c>
      <c r="BK99" s="316"/>
      <c r="BL99" s="315"/>
      <c r="BM99" s="316"/>
      <c r="BN99" s="317"/>
    </row>
    <row r="100" spans="1:66" s="13" customFormat="1" ht="9" customHeight="1" x14ac:dyDescent="0.25">
      <c r="B100" s="336"/>
      <c r="C100" s="336"/>
      <c r="D100" s="336"/>
      <c r="E100" s="336"/>
      <c r="F100" s="336"/>
      <c r="G100" s="336"/>
      <c r="H100" s="337"/>
      <c r="I100" s="337"/>
      <c r="J100" s="337"/>
      <c r="K100" s="337"/>
      <c r="L100" s="6"/>
      <c r="M100" s="336"/>
      <c r="N100" s="336"/>
      <c r="O100" s="336"/>
      <c r="P100" s="336"/>
      <c r="Q100" s="336"/>
      <c r="R100" s="336"/>
      <c r="S100" s="337"/>
      <c r="T100" s="337"/>
      <c r="U100" s="337"/>
      <c r="V100" s="337"/>
      <c r="W100" s="6"/>
      <c r="X100" s="336"/>
      <c r="Y100" s="336"/>
      <c r="Z100" s="336"/>
      <c r="AA100" s="336"/>
      <c r="AB100" s="336"/>
      <c r="AC100" s="336"/>
      <c r="AD100" s="337"/>
      <c r="AE100" s="337"/>
      <c r="AF100" s="337"/>
      <c r="AG100" s="337"/>
      <c r="AH100" s="25"/>
      <c r="AI100" s="340" t="s">
        <v>226</v>
      </c>
      <c r="AJ100" s="308"/>
      <c r="AK100" s="308"/>
      <c r="AL100" s="308"/>
      <c r="AM100" s="308"/>
      <c r="AN100" s="308"/>
      <c r="AO100" s="309">
        <f>444*B3</f>
        <v>843.59999999999991</v>
      </c>
      <c r="AP100" s="309"/>
      <c r="AQ100" s="309"/>
      <c r="AR100" s="309"/>
      <c r="AS100" s="3"/>
      <c r="AT100" s="308" t="s">
        <v>227</v>
      </c>
      <c r="AU100" s="308"/>
      <c r="AV100" s="308"/>
      <c r="AW100" s="308"/>
      <c r="AX100" s="308"/>
      <c r="AY100" s="309">
        <f>1159*B3</f>
        <v>2202.1</v>
      </c>
      <c r="AZ100" s="309"/>
      <c r="BA100" s="309"/>
      <c r="BB100" s="309"/>
      <c r="BC100" s="309"/>
      <c r="BD100" s="3"/>
      <c r="BE100" s="2" t="s">
        <v>228</v>
      </c>
      <c r="BF100" s="2"/>
      <c r="BG100" s="2"/>
      <c r="BH100" s="2"/>
      <c r="BI100" s="2"/>
      <c r="BJ100" s="309">
        <f>644*B3</f>
        <v>1223.5999999999999</v>
      </c>
      <c r="BK100" s="309"/>
      <c r="BL100" s="309"/>
      <c r="BM100" s="309"/>
      <c r="BN100" s="309"/>
    </row>
    <row r="101" spans="1:66" s="13" customFormat="1" ht="9" customHeight="1" x14ac:dyDescent="0.25">
      <c r="A101" s="48"/>
      <c r="B101" s="346" t="s">
        <v>229</v>
      </c>
      <c r="C101" s="347"/>
      <c r="D101" s="348"/>
      <c r="E101" s="349" t="s">
        <v>230</v>
      </c>
      <c r="F101" s="350"/>
      <c r="G101" s="350"/>
      <c r="H101" s="350"/>
      <c r="I101" s="350"/>
      <c r="J101" s="350"/>
      <c r="K101" s="351"/>
      <c r="L101" s="49"/>
      <c r="M101" s="352" t="s">
        <v>231</v>
      </c>
      <c r="N101" s="347"/>
      <c r="O101" s="348"/>
      <c r="P101" s="349" t="s">
        <v>230</v>
      </c>
      <c r="Q101" s="350"/>
      <c r="R101" s="350"/>
      <c r="S101" s="350"/>
      <c r="T101" s="350"/>
      <c r="U101" s="350"/>
      <c r="V101" s="351"/>
      <c r="W101" s="49"/>
      <c r="X101" s="352" t="s">
        <v>232</v>
      </c>
      <c r="Y101" s="347"/>
      <c r="Z101" s="348"/>
      <c r="AA101" s="349" t="s">
        <v>233</v>
      </c>
      <c r="AB101" s="350"/>
      <c r="AC101" s="350"/>
      <c r="AD101" s="350"/>
      <c r="AE101" s="350"/>
      <c r="AF101" s="350"/>
      <c r="AG101" s="353"/>
      <c r="AH101" s="50"/>
      <c r="AI101" s="322" t="s">
        <v>234</v>
      </c>
      <c r="AJ101" s="322"/>
      <c r="AK101" s="323"/>
      <c r="AL101" s="324" t="s">
        <v>233</v>
      </c>
      <c r="AM101" s="325"/>
      <c r="AN101" s="325"/>
      <c r="AO101" s="325"/>
      <c r="AP101" s="325"/>
      <c r="AQ101" s="325"/>
      <c r="AR101" s="326"/>
      <c r="AS101" s="35"/>
      <c r="AT101" s="321" t="s">
        <v>235</v>
      </c>
      <c r="AU101" s="322"/>
      <c r="AV101" s="323"/>
      <c r="AW101" s="318" t="s">
        <v>236</v>
      </c>
      <c r="AX101" s="319"/>
      <c r="AY101" s="319"/>
      <c r="AZ101" s="319"/>
      <c r="BA101" s="319"/>
      <c r="BB101" s="319"/>
      <c r="BC101" s="335"/>
      <c r="BD101" s="35"/>
      <c r="BE101" s="321" t="s">
        <v>237</v>
      </c>
      <c r="BF101" s="322"/>
      <c r="BG101" s="323"/>
      <c r="BH101" s="318" t="s">
        <v>236</v>
      </c>
      <c r="BI101" s="319"/>
      <c r="BJ101" s="319"/>
      <c r="BK101" s="319"/>
      <c r="BL101" s="319"/>
      <c r="BM101" s="319"/>
      <c r="BN101" s="335"/>
    </row>
    <row r="102" spans="1:66" s="13" customFormat="1" ht="9" customHeight="1" x14ac:dyDescent="0.25">
      <c r="A102" s="51"/>
      <c r="B102" s="333"/>
      <c r="C102" s="313"/>
      <c r="D102" s="313"/>
      <c r="E102" s="313"/>
      <c r="F102" s="313"/>
      <c r="G102" s="313"/>
      <c r="H102" s="313"/>
      <c r="I102" s="313"/>
      <c r="J102" s="313"/>
      <c r="K102" s="314"/>
      <c r="L102" s="35"/>
      <c r="M102" s="312"/>
      <c r="N102" s="313"/>
      <c r="O102" s="313"/>
      <c r="P102" s="313"/>
      <c r="Q102" s="313"/>
      <c r="R102" s="313"/>
      <c r="S102" s="313"/>
      <c r="T102" s="313"/>
      <c r="U102" s="313"/>
      <c r="V102" s="314"/>
      <c r="W102" s="35"/>
      <c r="X102" s="312"/>
      <c r="Y102" s="313"/>
      <c r="Z102" s="313"/>
      <c r="AA102" s="313"/>
      <c r="AB102" s="313"/>
      <c r="AC102" s="313"/>
      <c r="AD102" s="313"/>
      <c r="AE102" s="313"/>
      <c r="AF102" s="313"/>
      <c r="AG102" s="334"/>
      <c r="AH102" s="35"/>
      <c r="AI102" s="312" t="s">
        <v>14</v>
      </c>
      <c r="AJ102" s="313"/>
      <c r="AK102" s="313"/>
      <c r="AL102" s="313"/>
      <c r="AM102" s="313"/>
      <c r="AN102" s="313"/>
      <c r="AO102" s="313"/>
      <c r="AP102" s="313"/>
      <c r="AQ102" s="313"/>
      <c r="AR102" s="314"/>
      <c r="AS102" s="35"/>
      <c r="AT102" s="312"/>
      <c r="AU102" s="313"/>
      <c r="AV102" s="313"/>
      <c r="AW102" s="313"/>
      <c r="AX102" s="313"/>
      <c r="AY102" s="313"/>
      <c r="AZ102" s="313"/>
      <c r="BA102" s="313"/>
      <c r="BB102" s="313"/>
      <c r="BC102" s="314"/>
      <c r="BD102" s="35"/>
      <c r="BE102" s="312" t="s">
        <v>14</v>
      </c>
      <c r="BF102" s="313"/>
      <c r="BG102" s="313"/>
      <c r="BH102" s="313"/>
      <c r="BI102" s="313"/>
      <c r="BJ102" s="313"/>
      <c r="BK102" s="313"/>
      <c r="BL102" s="313"/>
      <c r="BM102" s="313"/>
      <c r="BN102" s="314"/>
    </row>
    <row r="103" spans="1:66" s="13" customFormat="1" ht="9" customHeight="1" x14ac:dyDescent="0.25">
      <c r="A103" s="52"/>
      <c r="B103" s="42"/>
      <c r="C103" s="35"/>
      <c r="D103" s="35"/>
      <c r="E103" s="35"/>
      <c r="F103" s="35"/>
      <c r="G103" s="35"/>
      <c r="H103" s="35"/>
      <c r="I103" s="35"/>
      <c r="J103" s="35"/>
      <c r="K103" s="39"/>
      <c r="L103" s="35"/>
      <c r="M103" s="38"/>
      <c r="N103" s="35"/>
      <c r="O103" s="35"/>
      <c r="P103" s="35"/>
      <c r="Q103" s="35"/>
      <c r="R103" s="35"/>
      <c r="S103" s="35"/>
      <c r="T103" s="35"/>
      <c r="U103" s="35"/>
      <c r="V103" s="39"/>
      <c r="W103" s="35"/>
      <c r="X103" s="38"/>
      <c r="Y103" s="35"/>
      <c r="Z103" s="35"/>
      <c r="AA103" s="35"/>
      <c r="AB103" s="35"/>
      <c r="AC103" s="35"/>
      <c r="AD103" s="35"/>
      <c r="AE103" s="35"/>
      <c r="AF103" s="35"/>
      <c r="AG103" s="43"/>
      <c r="AH103" s="35"/>
      <c r="AI103" s="38"/>
      <c r="AJ103" s="35"/>
      <c r="AK103" s="35"/>
      <c r="AL103" s="35"/>
      <c r="AM103" s="35"/>
      <c r="AN103" s="35"/>
      <c r="AO103" s="35"/>
      <c r="AP103" s="35"/>
      <c r="AQ103" s="35"/>
      <c r="AR103" s="39"/>
      <c r="AS103" s="35"/>
      <c r="AT103" s="38"/>
      <c r="AU103" s="35"/>
      <c r="AV103" s="35"/>
      <c r="AW103" s="35"/>
      <c r="AX103" s="35"/>
      <c r="AY103" s="35"/>
      <c r="AZ103" s="35"/>
      <c r="BA103" s="35"/>
      <c r="BB103" s="35"/>
      <c r="BC103" s="39"/>
      <c r="BD103" s="35"/>
      <c r="BE103" s="38"/>
      <c r="BF103" s="35"/>
      <c r="BG103" s="35"/>
      <c r="BH103" s="35"/>
      <c r="BI103" s="35"/>
      <c r="BJ103" s="35"/>
      <c r="BK103" s="35"/>
      <c r="BL103" s="35"/>
      <c r="BM103" s="35"/>
      <c r="BN103" s="39"/>
    </row>
    <row r="104" spans="1:66" s="13" customFormat="1" ht="9" customHeight="1" x14ac:dyDescent="0.25">
      <c r="A104" s="52"/>
      <c r="B104" s="42"/>
      <c r="C104" s="35"/>
      <c r="D104" s="35"/>
      <c r="E104" s="35"/>
      <c r="F104" s="35"/>
      <c r="G104" s="35"/>
      <c r="H104" s="35"/>
      <c r="I104" s="35"/>
      <c r="J104" s="35"/>
      <c r="K104" s="39"/>
      <c r="L104" s="35"/>
      <c r="M104" s="38"/>
      <c r="N104" s="35"/>
      <c r="O104" s="35"/>
      <c r="P104" s="35"/>
      <c r="Q104" s="35"/>
      <c r="R104" s="35"/>
      <c r="S104" s="35"/>
      <c r="T104" s="35"/>
      <c r="U104" s="35"/>
      <c r="V104" s="39"/>
      <c r="W104" s="35"/>
      <c r="X104" s="38"/>
      <c r="Y104" s="35"/>
      <c r="Z104" s="35"/>
      <c r="AA104" s="35"/>
      <c r="AB104" s="35"/>
      <c r="AC104" s="35"/>
      <c r="AD104" s="35"/>
      <c r="AE104" s="35"/>
      <c r="AF104" s="35"/>
      <c r="AG104" s="43"/>
      <c r="AH104" s="35"/>
      <c r="AI104" s="38"/>
      <c r="AJ104" s="35"/>
      <c r="AK104" s="35"/>
      <c r="AL104" s="35"/>
      <c r="AM104" s="35"/>
      <c r="AN104" s="35"/>
      <c r="AO104" s="35"/>
      <c r="AP104" s="35"/>
      <c r="AQ104" s="35"/>
      <c r="AR104" s="39"/>
      <c r="AS104" s="35"/>
      <c r="AT104" s="38"/>
      <c r="AU104" s="35"/>
      <c r="AV104" s="35"/>
      <c r="AW104" s="35"/>
      <c r="AX104" s="35"/>
      <c r="AY104" s="35"/>
      <c r="AZ104" s="35"/>
      <c r="BA104" s="35"/>
      <c r="BB104" s="35"/>
      <c r="BC104" s="39"/>
      <c r="BD104" s="35"/>
      <c r="BE104" s="38"/>
      <c r="BF104" s="35"/>
      <c r="BG104" s="35"/>
      <c r="BH104" s="35"/>
      <c r="BI104" s="35"/>
      <c r="BJ104" s="35"/>
      <c r="BK104" s="35"/>
      <c r="BL104" s="35"/>
      <c r="BM104" s="35"/>
      <c r="BN104" s="39"/>
    </row>
    <row r="105" spans="1:66" s="13" customFormat="1" ht="9" customHeight="1" x14ac:dyDescent="0.25">
      <c r="A105" s="52"/>
      <c r="B105" s="42"/>
      <c r="C105" s="35"/>
      <c r="D105" s="35"/>
      <c r="E105" s="35"/>
      <c r="F105" s="35"/>
      <c r="G105" s="35"/>
      <c r="H105" s="35"/>
      <c r="I105" s="35"/>
      <c r="J105" s="35"/>
      <c r="K105" s="39"/>
      <c r="L105" s="35"/>
      <c r="M105" s="38"/>
      <c r="N105" s="35"/>
      <c r="O105" s="35"/>
      <c r="P105" s="35"/>
      <c r="Q105" s="35"/>
      <c r="R105" s="35"/>
      <c r="S105" s="35"/>
      <c r="T105" s="35"/>
      <c r="U105" s="35"/>
      <c r="V105" s="39"/>
      <c r="W105" s="35"/>
      <c r="X105" s="38"/>
      <c r="Y105" s="35"/>
      <c r="Z105" s="35"/>
      <c r="AA105" s="35"/>
      <c r="AB105" s="35"/>
      <c r="AC105" s="35"/>
      <c r="AD105" s="35"/>
      <c r="AE105" s="35"/>
      <c r="AF105" s="35"/>
      <c r="AG105" s="43"/>
      <c r="AH105" s="35"/>
      <c r="AI105" s="38"/>
      <c r="AJ105" s="35"/>
      <c r="AK105" s="35"/>
      <c r="AL105" s="35"/>
      <c r="AM105" s="35"/>
      <c r="AN105" s="35"/>
      <c r="AO105" s="35"/>
      <c r="AP105" s="35"/>
      <c r="AQ105" s="35"/>
      <c r="AR105" s="39"/>
      <c r="AS105" s="35"/>
      <c r="AT105" s="38"/>
      <c r="AU105" s="35"/>
      <c r="AV105" s="35"/>
      <c r="AW105" s="35"/>
      <c r="AX105" s="35"/>
      <c r="AY105" s="35"/>
      <c r="AZ105" s="35"/>
      <c r="BA105" s="35"/>
      <c r="BB105" s="35"/>
      <c r="BC105" s="39"/>
      <c r="BD105" s="35"/>
      <c r="BE105" s="38"/>
      <c r="BF105" s="35"/>
      <c r="BG105" s="35"/>
      <c r="BH105" s="35"/>
      <c r="BI105" s="35"/>
      <c r="BJ105" s="35"/>
      <c r="BK105" s="35"/>
      <c r="BL105" s="35"/>
      <c r="BM105" s="35"/>
      <c r="BN105" s="39"/>
    </row>
    <row r="106" spans="1:66" s="13" customFormat="1" ht="9" customHeight="1" x14ac:dyDescent="0.25">
      <c r="A106" s="52"/>
      <c r="B106" s="42"/>
      <c r="C106" s="35"/>
      <c r="D106" s="35"/>
      <c r="E106" s="35"/>
      <c r="F106" s="35"/>
      <c r="G106" s="35"/>
      <c r="H106" s="35"/>
      <c r="I106" s="35"/>
      <c r="J106" s="35"/>
      <c r="K106" s="39"/>
      <c r="L106" s="35"/>
      <c r="M106" s="38"/>
      <c r="N106" s="35"/>
      <c r="O106" s="35"/>
      <c r="P106" s="35"/>
      <c r="Q106" s="35"/>
      <c r="R106" s="35"/>
      <c r="S106" s="35"/>
      <c r="T106" s="35"/>
      <c r="U106" s="35"/>
      <c r="V106" s="39"/>
      <c r="W106" s="35"/>
      <c r="X106" s="38"/>
      <c r="Y106" s="35"/>
      <c r="Z106" s="35"/>
      <c r="AA106" s="35"/>
      <c r="AB106" s="35"/>
      <c r="AC106" s="35"/>
      <c r="AD106" s="35"/>
      <c r="AE106" s="35"/>
      <c r="AF106" s="35"/>
      <c r="AG106" s="43"/>
      <c r="AH106" s="35"/>
      <c r="AI106" s="38"/>
      <c r="AJ106" s="35"/>
      <c r="AK106" s="35"/>
      <c r="AL106" s="35"/>
      <c r="AM106" s="35"/>
      <c r="AN106" s="35"/>
      <c r="AO106" s="35"/>
      <c r="AP106" s="35"/>
      <c r="AQ106" s="35"/>
      <c r="AR106" s="39"/>
      <c r="AS106" s="35"/>
      <c r="AT106" s="38"/>
      <c r="AU106" s="35"/>
      <c r="AV106" s="35"/>
      <c r="AW106" s="35"/>
      <c r="AX106" s="35"/>
      <c r="AY106" s="35"/>
      <c r="AZ106" s="35"/>
      <c r="BA106" s="35"/>
      <c r="BB106" s="35"/>
      <c r="BC106" s="39"/>
      <c r="BD106" s="35"/>
      <c r="BE106" s="38"/>
      <c r="BF106" s="35"/>
      <c r="BG106" s="35"/>
      <c r="BH106" s="35"/>
      <c r="BI106" s="35"/>
      <c r="BJ106" s="35"/>
      <c r="BK106" s="35"/>
      <c r="BL106" s="35"/>
      <c r="BM106" s="35"/>
      <c r="BN106" s="39"/>
    </row>
    <row r="107" spans="1:66" s="13" customFormat="1" ht="9" customHeight="1" x14ac:dyDescent="0.25">
      <c r="A107" s="52"/>
      <c r="B107" s="42"/>
      <c r="C107" s="35"/>
      <c r="D107" s="35"/>
      <c r="E107" s="35"/>
      <c r="F107" s="35"/>
      <c r="G107" s="35"/>
      <c r="H107" s="35"/>
      <c r="I107" s="35"/>
      <c r="J107" s="35"/>
      <c r="K107" s="39"/>
      <c r="L107" s="35"/>
      <c r="M107" s="38"/>
      <c r="N107" s="35"/>
      <c r="O107" s="35"/>
      <c r="P107" s="35"/>
      <c r="Q107" s="35"/>
      <c r="R107" s="35"/>
      <c r="S107" s="35"/>
      <c r="T107" s="35"/>
      <c r="U107" s="35"/>
      <c r="V107" s="39"/>
      <c r="W107" s="35"/>
      <c r="X107" s="38"/>
      <c r="Y107" s="35"/>
      <c r="Z107" s="35"/>
      <c r="AA107" s="35"/>
      <c r="AB107" s="35"/>
      <c r="AC107" s="35"/>
      <c r="AD107" s="35"/>
      <c r="AE107" s="35"/>
      <c r="AF107" s="35"/>
      <c r="AG107" s="43"/>
      <c r="AH107" s="35"/>
      <c r="AI107" s="38"/>
      <c r="AJ107" s="35"/>
      <c r="AK107" s="35"/>
      <c r="AL107" s="35"/>
      <c r="AM107" s="35"/>
      <c r="AN107" s="35"/>
      <c r="AO107" s="35"/>
      <c r="AP107" s="35"/>
      <c r="AQ107" s="35"/>
      <c r="AR107" s="39"/>
      <c r="AS107" s="35"/>
      <c r="AT107" s="38"/>
      <c r="AU107" s="35"/>
      <c r="AV107" s="35"/>
      <c r="AW107" s="35"/>
      <c r="AX107" s="35"/>
      <c r="AY107" s="35"/>
      <c r="AZ107" s="35"/>
      <c r="BA107" s="35"/>
      <c r="BB107" s="35"/>
      <c r="BC107" s="39"/>
      <c r="BD107" s="35"/>
      <c r="BE107" s="38"/>
      <c r="BF107" s="35"/>
      <c r="BG107" s="35"/>
      <c r="BH107" s="35"/>
      <c r="BI107" s="35"/>
      <c r="BJ107" s="35"/>
      <c r="BK107" s="35"/>
      <c r="BL107" s="35"/>
      <c r="BM107" s="35"/>
      <c r="BN107" s="39"/>
    </row>
    <row r="108" spans="1:66" s="13" customFormat="1" ht="9" customHeight="1" x14ac:dyDescent="0.25">
      <c r="A108" s="52"/>
      <c r="B108" s="42"/>
      <c r="C108" s="35"/>
      <c r="D108" s="35"/>
      <c r="E108" s="35"/>
      <c r="F108" s="35"/>
      <c r="G108" s="35"/>
      <c r="H108" s="35"/>
      <c r="I108" s="35"/>
      <c r="J108" s="35"/>
      <c r="K108" s="39"/>
      <c r="L108" s="35"/>
      <c r="M108" s="38"/>
      <c r="N108" s="35"/>
      <c r="O108" s="35"/>
      <c r="P108" s="35"/>
      <c r="Q108" s="35"/>
      <c r="R108" s="35"/>
      <c r="S108" s="35"/>
      <c r="T108" s="35"/>
      <c r="U108" s="35"/>
      <c r="V108" s="39"/>
      <c r="W108" s="35"/>
      <c r="X108" s="38"/>
      <c r="Y108" s="35"/>
      <c r="Z108" s="35"/>
      <c r="AA108" s="35"/>
      <c r="AB108" s="35"/>
      <c r="AC108" s="35"/>
      <c r="AD108" s="35"/>
      <c r="AE108" s="35"/>
      <c r="AF108" s="35"/>
      <c r="AG108" s="43"/>
      <c r="AH108" s="35"/>
      <c r="AI108" s="38"/>
      <c r="AJ108" s="35"/>
      <c r="AK108" s="35"/>
      <c r="AL108" s="35"/>
      <c r="AM108" s="35"/>
      <c r="AN108" s="35"/>
      <c r="AO108" s="35"/>
      <c r="AP108" s="35"/>
      <c r="AQ108" s="35"/>
      <c r="AR108" s="39"/>
      <c r="AS108" s="35"/>
      <c r="AT108" s="38"/>
      <c r="AU108" s="35"/>
      <c r="AV108" s="35"/>
      <c r="AW108" s="35"/>
      <c r="AX108" s="35"/>
      <c r="AY108" s="35"/>
      <c r="AZ108" s="35"/>
      <c r="BA108" s="35"/>
      <c r="BB108" s="35"/>
      <c r="BC108" s="39"/>
      <c r="BD108" s="35"/>
      <c r="BE108" s="38"/>
      <c r="BF108" s="35"/>
      <c r="BG108" s="35"/>
      <c r="BH108" s="35"/>
      <c r="BI108" s="35"/>
      <c r="BJ108" s="35"/>
      <c r="BK108" s="35"/>
      <c r="BL108" s="35"/>
      <c r="BM108" s="35"/>
      <c r="BN108" s="39"/>
    </row>
    <row r="109" spans="1:66" s="13" customFormat="1" ht="9" customHeight="1" x14ac:dyDescent="0.25">
      <c r="A109" s="52"/>
      <c r="B109" s="42"/>
      <c r="C109" s="35"/>
      <c r="D109" s="35"/>
      <c r="E109" s="35"/>
      <c r="F109" s="35"/>
      <c r="G109" s="35"/>
      <c r="H109" s="35"/>
      <c r="I109" s="35"/>
      <c r="J109" s="35"/>
      <c r="K109" s="39"/>
      <c r="L109" s="35"/>
      <c r="M109" s="38"/>
      <c r="N109" s="35"/>
      <c r="O109" s="35"/>
      <c r="P109" s="35"/>
      <c r="Q109" s="35"/>
      <c r="R109" s="35"/>
      <c r="S109" s="35"/>
      <c r="T109" s="35"/>
      <c r="U109" s="35"/>
      <c r="V109" s="39"/>
      <c r="W109" s="35"/>
      <c r="X109" s="38"/>
      <c r="Y109" s="35"/>
      <c r="Z109" s="35"/>
      <c r="AA109" s="35"/>
      <c r="AB109" s="35"/>
      <c r="AC109" s="35"/>
      <c r="AD109" s="35"/>
      <c r="AE109" s="35"/>
      <c r="AF109" s="35"/>
      <c r="AG109" s="43"/>
      <c r="AH109" s="35"/>
      <c r="AI109" s="38"/>
      <c r="AJ109" s="35"/>
      <c r="AK109" s="35"/>
      <c r="AL109" s="35"/>
      <c r="AM109" s="35"/>
      <c r="AN109" s="35"/>
      <c r="AO109" s="35"/>
      <c r="AP109" s="35"/>
      <c r="AQ109" s="35"/>
      <c r="AR109" s="39"/>
      <c r="AS109" s="35"/>
      <c r="AT109" s="38"/>
      <c r="AU109" s="35"/>
      <c r="AV109" s="35"/>
      <c r="AW109" s="35"/>
      <c r="AX109" s="35"/>
      <c r="AY109" s="35"/>
      <c r="AZ109" s="35"/>
      <c r="BA109" s="35"/>
      <c r="BB109" s="35"/>
      <c r="BC109" s="39"/>
      <c r="BD109" s="35"/>
      <c r="BE109" s="38"/>
      <c r="BF109" s="35"/>
      <c r="BG109" s="35"/>
      <c r="BH109" s="35"/>
      <c r="BI109" s="35"/>
      <c r="BJ109" s="35"/>
      <c r="BK109" s="35"/>
      <c r="BL109" s="35"/>
      <c r="BM109" s="35"/>
      <c r="BN109" s="39"/>
    </row>
    <row r="110" spans="1:66" s="13" customFormat="1" ht="9" customHeight="1" x14ac:dyDescent="0.25">
      <c r="A110" s="52"/>
      <c r="B110" s="42"/>
      <c r="C110" s="35"/>
      <c r="D110" s="35"/>
      <c r="E110" s="35"/>
      <c r="F110" s="35"/>
      <c r="G110" s="35"/>
      <c r="H110" s="35"/>
      <c r="I110" s="35"/>
      <c r="J110" s="35"/>
      <c r="K110" s="39"/>
      <c r="L110" s="35"/>
      <c r="M110" s="38"/>
      <c r="N110" s="35"/>
      <c r="O110" s="35"/>
      <c r="P110" s="35"/>
      <c r="Q110" s="35"/>
      <c r="R110" s="35"/>
      <c r="S110" s="35"/>
      <c r="T110" s="35"/>
      <c r="U110" s="35"/>
      <c r="V110" s="39"/>
      <c r="W110" s="35"/>
      <c r="X110" s="38"/>
      <c r="Y110" s="35"/>
      <c r="Z110" s="35"/>
      <c r="AA110" s="35"/>
      <c r="AB110" s="35"/>
      <c r="AC110" s="35"/>
      <c r="AD110" s="35"/>
      <c r="AE110" s="35"/>
      <c r="AF110" s="35"/>
      <c r="AG110" s="43"/>
      <c r="AH110" s="35"/>
      <c r="AI110" s="38"/>
      <c r="AJ110" s="35"/>
      <c r="AK110" s="35"/>
      <c r="AL110" s="35"/>
      <c r="AM110" s="35"/>
      <c r="AN110" s="35"/>
      <c r="AO110" s="35"/>
      <c r="AP110" s="35"/>
      <c r="AQ110" s="35"/>
      <c r="AR110" s="39"/>
      <c r="AS110" s="35"/>
      <c r="AT110" s="38"/>
      <c r="AU110" s="35"/>
      <c r="AV110" s="35"/>
      <c r="AW110" s="35"/>
      <c r="AX110" s="35"/>
      <c r="AY110" s="35"/>
      <c r="AZ110" s="35"/>
      <c r="BA110" s="35"/>
      <c r="BB110" s="35"/>
      <c r="BC110" s="39"/>
      <c r="BD110" s="35"/>
      <c r="BE110" s="38"/>
      <c r="BF110" s="35"/>
      <c r="BG110" s="35"/>
      <c r="BH110" s="35"/>
      <c r="BI110" s="35"/>
      <c r="BJ110" s="35"/>
      <c r="BK110" s="35"/>
      <c r="BL110" s="35"/>
      <c r="BM110" s="35"/>
      <c r="BN110" s="39"/>
    </row>
    <row r="111" spans="1:66" s="13" customFormat="1" ht="9" customHeight="1" x14ac:dyDescent="0.25">
      <c r="A111" s="53"/>
      <c r="B111" s="54"/>
      <c r="C111" s="55"/>
      <c r="D111" s="55"/>
      <c r="E111" s="55"/>
      <c r="F111" s="55"/>
      <c r="G111" s="55"/>
      <c r="H111" s="55"/>
      <c r="I111" s="55"/>
      <c r="J111" s="55"/>
      <c r="K111" s="56"/>
      <c r="L111" s="55"/>
      <c r="M111" s="57"/>
      <c r="N111" s="55"/>
      <c r="O111" s="55"/>
      <c r="P111" s="55"/>
      <c r="Q111" s="55"/>
      <c r="R111" s="55"/>
      <c r="S111" s="55"/>
      <c r="T111" s="55"/>
      <c r="U111" s="55"/>
      <c r="V111" s="56"/>
      <c r="W111" s="55"/>
      <c r="X111" s="57"/>
      <c r="Y111" s="55"/>
      <c r="Z111" s="55"/>
      <c r="AA111" s="55"/>
      <c r="AB111" s="55"/>
      <c r="AC111" s="55"/>
      <c r="AD111" s="55"/>
      <c r="AE111" s="55"/>
      <c r="AF111" s="55"/>
      <c r="AG111" s="58"/>
      <c r="AH111" s="35"/>
      <c r="AI111" s="38"/>
      <c r="AJ111" s="35"/>
      <c r="AK111" s="35"/>
      <c r="AL111" s="35"/>
      <c r="AM111" s="35"/>
      <c r="AN111" s="35"/>
      <c r="AO111" s="35"/>
      <c r="AP111" s="35"/>
      <c r="AQ111" s="35"/>
      <c r="AR111" s="39"/>
      <c r="AS111" s="35"/>
      <c r="AT111" s="38"/>
      <c r="AU111" s="35"/>
      <c r="AV111" s="35"/>
      <c r="AW111" s="35"/>
      <c r="AX111" s="35"/>
      <c r="AY111" s="35"/>
      <c r="AZ111" s="35"/>
      <c r="BA111" s="35"/>
      <c r="BB111" s="35"/>
      <c r="BC111" s="39"/>
      <c r="BD111" s="35"/>
      <c r="BE111" s="38"/>
      <c r="BF111" s="35"/>
      <c r="BG111" s="35"/>
      <c r="BH111" s="35"/>
      <c r="BI111" s="35"/>
      <c r="BJ111" s="35"/>
      <c r="BK111" s="35"/>
      <c r="BL111" s="35"/>
      <c r="BM111" s="35"/>
      <c r="BN111" s="39"/>
    </row>
    <row r="112" spans="1:66" s="13" customFormat="1" ht="9" customHeight="1" x14ac:dyDescent="0.25">
      <c r="A112" s="59"/>
      <c r="B112" s="308" t="s">
        <v>238</v>
      </c>
      <c r="C112" s="308"/>
      <c r="D112" s="308"/>
      <c r="E112" s="308"/>
      <c r="F112" s="308"/>
      <c r="G112" s="308"/>
      <c r="H112" s="341">
        <f>110*B3</f>
        <v>209</v>
      </c>
      <c r="I112" s="342"/>
      <c r="J112" s="342"/>
      <c r="K112" s="343"/>
      <c r="L112" s="2"/>
      <c r="M112" s="308" t="s">
        <v>238</v>
      </c>
      <c r="N112" s="308"/>
      <c r="O112" s="308"/>
      <c r="P112" s="308"/>
      <c r="Q112" s="308"/>
      <c r="R112" s="308"/>
      <c r="S112" s="309">
        <f>110*B3</f>
        <v>209</v>
      </c>
      <c r="T112" s="309"/>
      <c r="U112" s="309"/>
      <c r="V112" s="309"/>
      <c r="W112" s="2"/>
      <c r="X112" s="308" t="s">
        <v>238</v>
      </c>
      <c r="Y112" s="308"/>
      <c r="Z112" s="308"/>
      <c r="AA112" s="308"/>
      <c r="AB112" s="308"/>
      <c r="AC112" s="308"/>
      <c r="AD112" s="309">
        <f>110*B3</f>
        <v>209</v>
      </c>
      <c r="AE112" s="309"/>
      <c r="AF112" s="309"/>
      <c r="AG112" s="309"/>
      <c r="AH112" s="2"/>
      <c r="AI112" s="308" t="s">
        <v>238</v>
      </c>
      <c r="AJ112" s="308"/>
      <c r="AK112" s="308"/>
      <c r="AL112" s="308"/>
      <c r="AM112" s="308"/>
      <c r="AN112" s="308"/>
      <c r="AO112" s="309">
        <f>110*B3</f>
        <v>209</v>
      </c>
      <c r="AP112" s="309"/>
      <c r="AQ112" s="309"/>
      <c r="AR112" s="309"/>
      <c r="AS112" s="2"/>
      <c r="AT112" s="308" t="s">
        <v>238</v>
      </c>
      <c r="AU112" s="308"/>
      <c r="AV112" s="308"/>
      <c r="AW112" s="308"/>
      <c r="AX112" s="308"/>
      <c r="AY112" s="308"/>
      <c r="AZ112" s="309">
        <f>147*B3</f>
        <v>279.3</v>
      </c>
      <c r="BA112" s="309"/>
      <c r="BB112" s="309"/>
      <c r="BC112" s="309"/>
      <c r="BD112" s="2"/>
      <c r="BE112" s="308" t="s">
        <v>238</v>
      </c>
      <c r="BF112" s="308"/>
      <c r="BG112" s="308"/>
      <c r="BH112" s="308"/>
      <c r="BI112" s="308"/>
      <c r="BJ112" s="308"/>
      <c r="BK112" s="309">
        <f>147*B3</f>
        <v>279.3</v>
      </c>
      <c r="BL112" s="309"/>
      <c r="BM112" s="309"/>
      <c r="BN112" s="309"/>
    </row>
    <row r="113" spans="1:66" s="13" customFormat="1" ht="9" customHeight="1" x14ac:dyDescent="0.25">
      <c r="A113" s="59"/>
      <c r="B113" s="308" t="s">
        <v>239</v>
      </c>
      <c r="C113" s="308"/>
      <c r="D113" s="308"/>
      <c r="E113" s="308"/>
      <c r="F113" s="308"/>
      <c r="G113" s="308"/>
      <c r="H113" s="341">
        <f>815*B3</f>
        <v>1548.5</v>
      </c>
      <c r="I113" s="342"/>
      <c r="J113" s="342"/>
      <c r="K113" s="343"/>
      <c r="L113" s="2"/>
      <c r="M113" s="308" t="s">
        <v>240</v>
      </c>
      <c r="N113" s="308"/>
      <c r="O113" s="308"/>
      <c r="P113" s="308"/>
      <c r="Q113" s="308"/>
      <c r="R113" s="308"/>
      <c r="S113" s="309">
        <f>664*B3</f>
        <v>1261.5999999999999</v>
      </c>
      <c r="T113" s="309"/>
      <c r="U113" s="309"/>
      <c r="V113" s="309"/>
      <c r="W113" s="2"/>
      <c r="X113" s="308" t="s">
        <v>241</v>
      </c>
      <c r="Y113" s="308"/>
      <c r="Z113" s="308"/>
      <c r="AA113" s="308"/>
      <c r="AB113" s="308"/>
      <c r="AC113" s="308"/>
      <c r="AD113" s="309">
        <f>739*B3</f>
        <v>1404.1</v>
      </c>
      <c r="AE113" s="309"/>
      <c r="AF113" s="309"/>
      <c r="AG113" s="309"/>
      <c r="AH113" s="2"/>
      <c r="AI113" s="308" t="s">
        <v>242</v>
      </c>
      <c r="AJ113" s="308"/>
      <c r="AK113" s="308"/>
      <c r="AL113" s="308"/>
      <c r="AM113" s="308"/>
      <c r="AN113" s="308"/>
      <c r="AO113" s="309">
        <f>823*B3</f>
        <v>1563.6999999999998</v>
      </c>
      <c r="AP113" s="309"/>
      <c r="AQ113" s="309"/>
      <c r="AR113" s="309"/>
      <c r="AS113" s="2"/>
      <c r="AT113" s="308" t="s">
        <v>241</v>
      </c>
      <c r="AU113" s="308"/>
      <c r="AV113" s="308"/>
      <c r="AW113" s="308"/>
      <c r="AX113" s="308"/>
      <c r="AY113" s="308"/>
      <c r="AZ113" s="309">
        <f>954*B3</f>
        <v>1812.6</v>
      </c>
      <c r="BA113" s="309"/>
      <c r="BB113" s="309"/>
      <c r="BC113" s="309"/>
      <c r="BD113" s="2"/>
      <c r="BE113" s="308" t="s">
        <v>242</v>
      </c>
      <c r="BF113" s="308"/>
      <c r="BG113" s="308"/>
      <c r="BH113" s="308"/>
      <c r="BI113" s="308"/>
      <c r="BJ113" s="308"/>
      <c r="BK113" s="309">
        <f>1063*B3</f>
        <v>2019.6999999999998</v>
      </c>
      <c r="BL113" s="309"/>
      <c r="BM113" s="309"/>
      <c r="BN113" s="309"/>
    </row>
    <row r="114" spans="1:66" s="13" customFormat="1" ht="2.1" customHeight="1" x14ac:dyDescent="0.2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row>
    <row r="115" spans="1:66" s="13" customFormat="1" ht="9" customHeight="1" x14ac:dyDescent="0.25">
      <c r="B115" s="321" t="s">
        <v>107</v>
      </c>
      <c r="C115" s="322"/>
      <c r="D115" s="323"/>
      <c r="E115" s="324" t="s">
        <v>87</v>
      </c>
      <c r="F115" s="325"/>
      <c r="G115" s="325"/>
      <c r="H115" s="325"/>
      <c r="I115" s="325"/>
      <c r="J115" s="325"/>
      <c r="K115" s="326"/>
      <c r="L115" s="35"/>
      <c r="M115" s="321" t="s">
        <v>108</v>
      </c>
      <c r="N115" s="322"/>
      <c r="O115" s="323"/>
      <c r="P115" s="324" t="s">
        <v>109</v>
      </c>
      <c r="Q115" s="325"/>
      <c r="R115" s="325"/>
      <c r="S115" s="325"/>
      <c r="T115" s="325"/>
      <c r="U115" s="325"/>
      <c r="V115" s="326"/>
      <c r="W115" s="35"/>
      <c r="X115" s="321" t="s">
        <v>110</v>
      </c>
      <c r="Y115" s="322"/>
      <c r="Z115" s="323"/>
      <c r="AA115" s="324" t="s">
        <v>109</v>
      </c>
      <c r="AB115" s="325"/>
      <c r="AC115" s="325"/>
      <c r="AD115" s="325"/>
      <c r="AE115" s="325"/>
      <c r="AF115" s="325"/>
      <c r="AG115" s="326"/>
      <c r="AH115" s="35"/>
      <c r="AI115" s="321" t="s">
        <v>111</v>
      </c>
      <c r="AJ115" s="322"/>
      <c r="AK115" s="323"/>
      <c r="AL115" s="324" t="s">
        <v>109</v>
      </c>
      <c r="AM115" s="325"/>
      <c r="AN115" s="325"/>
      <c r="AO115" s="325"/>
      <c r="AP115" s="325"/>
      <c r="AQ115" s="325"/>
      <c r="AR115" s="326"/>
      <c r="AS115" s="35"/>
      <c r="AT115" s="321" t="s">
        <v>112</v>
      </c>
      <c r="AU115" s="322"/>
      <c r="AV115" s="323"/>
      <c r="AW115" s="324" t="s">
        <v>113</v>
      </c>
      <c r="AX115" s="325"/>
      <c r="AY115" s="325"/>
      <c r="AZ115" s="325"/>
      <c r="BA115" s="325"/>
      <c r="BB115" s="325"/>
      <c r="BC115" s="326"/>
      <c r="BD115" s="35"/>
      <c r="BE115" s="321" t="s">
        <v>114</v>
      </c>
      <c r="BF115" s="322"/>
      <c r="BG115" s="323"/>
      <c r="BH115" s="324" t="s">
        <v>113</v>
      </c>
      <c r="BI115" s="325"/>
      <c r="BJ115" s="325"/>
      <c r="BK115" s="325"/>
      <c r="BL115" s="325"/>
      <c r="BM115" s="325"/>
      <c r="BN115" s="326"/>
    </row>
    <row r="116" spans="1:66" s="13" customFormat="1" ht="9" customHeight="1" x14ac:dyDescent="0.25">
      <c r="B116" s="38"/>
      <c r="C116" s="35"/>
      <c r="D116" s="35"/>
      <c r="E116" s="35"/>
      <c r="F116" s="35"/>
      <c r="G116" s="35"/>
      <c r="H116" s="35"/>
      <c r="I116" s="35"/>
      <c r="J116" s="35"/>
      <c r="K116" s="39"/>
      <c r="L116" s="35"/>
      <c r="M116" s="38"/>
      <c r="N116" s="35"/>
      <c r="O116" s="35"/>
      <c r="P116" s="35"/>
      <c r="Q116" s="35"/>
      <c r="R116" s="35"/>
      <c r="S116" s="35"/>
      <c r="T116" s="35"/>
      <c r="U116" s="35"/>
      <c r="V116" s="39"/>
      <c r="W116" s="35"/>
      <c r="X116" s="38"/>
      <c r="Y116" s="35"/>
      <c r="Z116" s="35"/>
      <c r="AA116" s="35"/>
      <c r="AB116" s="35"/>
      <c r="AC116" s="35"/>
      <c r="AD116" s="35"/>
      <c r="AE116" s="35"/>
      <c r="AF116" s="35"/>
      <c r="AG116" s="39"/>
      <c r="AH116" s="35"/>
      <c r="AI116" s="312" t="s">
        <v>115</v>
      </c>
      <c r="AJ116" s="313"/>
      <c r="AK116" s="313"/>
      <c r="AL116" s="313"/>
      <c r="AM116" s="313"/>
      <c r="AN116" s="313"/>
      <c r="AO116" s="313"/>
      <c r="AP116" s="313"/>
      <c r="AQ116" s="313"/>
      <c r="AR116" s="314"/>
      <c r="AS116" s="35"/>
      <c r="AT116" s="312" t="s">
        <v>116</v>
      </c>
      <c r="AU116" s="313"/>
      <c r="AV116" s="313"/>
      <c r="AW116" s="313"/>
      <c r="AX116" s="313"/>
      <c r="AY116" s="313"/>
      <c r="AZ116" s="313"/>
      <c r="BA116" s="313"/>
      <c r="BB116" s="313"/>
      <c r="BC116" s="314"/>
      <c r="BD116" s="35"/>
      <c r="BE116" s="312" t="s">
        <v>117</v>
      </c>
      <c r="BF116" s="313"/>
      <c r="BG116" s="313"/>
      <c r="BH116" s="313"/>
      <c r="BI116" s="313"/>
      <c r="BJ116" s="313"/>
      <c r="BK116" s="313"/>
      <c r="BL116" s="313"/>
      <c r="BM116" s="313"/>
      <c r="BN116" s="314"/>
    </row>
    <row r="117" spans="1:66" s="13" customFormat="1" ht="9" customHeight="1" x14ac:dyDescent="0.25">
      <c r="B117" s="32"/>
      <c r="C117" s="1"/>
      <c r="D117" s="1"/>
      <c r="E117" s="1"/>
      <c r="F117" s="1"/>
      <c r="G117" s="1"/>
      <c r="H117" s="1"/>
      <c r="I117" s="1"/>
      <c r="J117" s="1"/>
      <c r="K117" s="33"/>
      <c r="L117" s="35"/>
      <c r="M117" s="32"/>
      <c r="N117" s="1"/>
      <c r="O117" s="1"/>
      <c r="P117" s="1"/>
      <c r="Q117" s="1"/>
      <c r="R117" s="1"/>
      <c r="S117" s="1"/>
      <c r="T117" s="1"/>
      <c r="U117" s="1"/>
      <c r="V117" s="33"/>
      <c r="W117" s="35"/>
      <c r="X117" s="38"/>
      <c r="Y117" s="35"/>
      <c r="Z117" s="35"/>
      <c r="AA117" s="35"/>
      <c r="AB117" s="35"/>
      <c r="AC117" s="35"/>
      <c r="AD117" s="35"/>
      <c r="AE117" s="35"/>
      <c r="AF117" s="35"/>
      <c r="AG117" s="39"/>
      <c r="AH117" s="35"/>
      <c r="AI117" s="32"/>
      <c r="AJ117" s="1"/>
      <c r="AK117" s="1"/>
      <c r="AL117" s="1"/>
      <c r="AM117" s="1"/>
      <c r="AN117" s="1"/>
      <c r="AO117" s="1"/>
      <c r="AP117" s="1"/>
      <c r="AQ117" s="1"/>
      <c r="AR117" s="33"/>
      <c r="AS117" s="35"/>
      <c r="AT117" s="32"/>
      <c r="AU117" s="1"/>
      <c r="AV117" s="1"/>
      <c r="AW117" s="1"/>
      <c r="AX117" s="1"/>
      <c r="AY117" s="1"/>
      <c r="AZ117" s="1"/>
      <c r="BA117" s="1"/>
      <c r="BB117" s="1"/>
      <c r="BC117" s="33"/>
      <c r="BD117" s="35"/>
      <c r="BE117" s="38"/>
      <c r="BF117" s="35"/>
      <c r="BG117" s="35"/>
      <c r="BH117" s="35"/>
      <c r="BI117" s="35"/>
      <c r="BJ117" s="35"/>
      <c r="BK117" s="35"/>
      <c r="BL117" s="35"/>
      <c r="BM117" s="35"/>
      <c r="BN117" s="39"/>
    </row>
    <row r="118" spans="1:66" s="13" customFormat="1" ht="9" customHeight="1" x14ac:dyDescent="0.25">
      <c r="B118" s="32"/>
      <c r="C118" s="1"/>
      <c r="D118" s="1"/>
      <c r="E118" s="1"/>
      <c r="F118" s="1"/>
      <c r="G118" s="1"/>
      <c r="H118" s="1"/>
      <c r="I118" s="1"/>
      <c r="J118" s="1"/>
      <c r="K118" s="33"/>
      <c r="L118" s="35"/>
      <c r="M118" s="32"/>
      <c r="N118" s="1"/>
      <c r="O118" s="1"/>
      <c r="P118" s="1"/>
      <c r="Q118" s="1"/>
      <c r="R118" s="1"/>
      <c r="S118" s="1"/>
      <c r="T118" s="1"/>
      <c r="U118" s="1"/>
      <c r="V118" s="33"/>
      <c r="W118" s="35"/>
      <c r="X118" s="38"/>
      <c r="Y118" s="35"/>
      <c r="Z118" s="35"/>
      <c r="AA118" s="35"/>
      <c r="AB118" s="35"/>
      <c r="AC118" s="35"/>
      <c r="AD118" s="35"/>
      <c r="AE118" s="35"/>
      <c r="AF118" s="35"/>
      <c r="AG118" s="39"/>
      <c r="AH118" s="35"/>
      <c r="AI118" s="32"/>
      <c r="AJ118" s="1"/>
      <c r="AK118" s="1"/>
      <c r="AL118" s="1"/>
      <c r="AM118" s="1"/>
      <c r="AN118" s="1"/>
      <c r="AO118" s="1"/>
      <c r="AP118" s="1"/>
      <c r="AQ118" s="1"/>
      <c r="AR118" s="33"/>
      <c r="AS118" s="35"/>
      <c r="AT118" s="32"/>
      <c r="AU118" s="1"/>
      <c r="AV118" s="1"/>
      <c r="AW118" s="1"/>
      <c r="AX118" s="1"/>
      <c r="AY118" s="1"/>
      <c r="AZ118" s="1"/>
      <c r="BA118" s="1"/>
      <c r="BB118" s="1"/>
      <c r="BC118" s="33"/>
      <c r="BD118" s="35"/>
      <c r="BE118" s="38"/>
      <c r="BF118" s="35"/>
      <c r="BG118" s="35"/>
      <c r="BH118" s="35"/>
      <c r="BI118" s="35"/>
      <c r="BJ118" s="35"/>
      <c r="BK118" s="35"/>
      <c r="BL118" s="35"/>
      <c r="BM118" s="35"/>
      <c r="BN118" s="39"/>
    </row>
    <row r="119" spans="1:66" s="13" customFormat="1" ht="9" customHeight="1" x14ac:dyDescent="0.25">
      <c r="B119" s="32"/>
      <c r="C119" s="1"/>
      <c r="D119" s="1"/>
      <c r="E119" s="1"/>
      <c r="F119" s="1"/>
      <c r="G119" s="1"/>
      <c r="H119" s="1"/>
      <c r="I119" s="1"/>
      <c r="J119" s="1"/>
      <c r="K119" s="33"/>
      <c r="L119" s="35"/>
      <c r="M119" s="32"/>
      <c r="N119" s="1"/>
      <c r="O119" s="1"/>
      <c r="P119" s="1"/>
      <c r="Q119" s="1"/>
      <c r="R119" s="1"/>
      <c r="S119" s="1"/>
      <c r="T119" s="1"/>
      <c r="U119" s="1"/>
      <c r="V119" s="33"/>
      <c r="W119" s="35"/>
      <c r="X119" s="38"/>
      <c r="Y119" s="35"/>
      <c r="Z119" s="35"/>
      <c r="AA119" s="35"/>
      <c r="AB119" s="35"/>
      <c r="AC119" s="35"/>
      <c r="AD119" s="35"/>
      <c r="AE119" s="35"/>
      <c r="AF119" s="35"/>
      <c r="AG119" s="39"/>
      <c r="AH119" s="35"/>
      <c r="AI119" s="32"/>
      <c r="AJ119" s="1"/>
      <c r="AK119" s="1"/>
      <c r="AL119" s="1"/>
      <c r="AM119" s="1"/>
      <c r="AN119" s="1"/>
      <c r="AO119" s="1"/>
      <c r="AP119" s="1"/>
      <c r="AQ119" s="1"/>
      <c r="AR119" s="33"/>
      <c r="AS119" s="35"/>
      <c r="AT119" s="32"/>
      <c r="AU119" s="1"/>
      <c r="AV119" s="1"/>
      <c r="AW119" s="1"/>
      <c r="AX119" s="1"/>
      <c r="AY119" s="1"/>
      <c r="AZ119" s="1"/>
      <c r="BA119" s="1"/>
      <c r="BB119" s="1"/>
      <c r="BC119" s="33"/>
      <c r="BD119" s="35"/>
      <c r="BE119" s="38"/>
      <c r="BF119" s="35"/>
      <c r="BG119" s="35"/>
      <c r="BH119" s="35"/>
      <c r="BI119" s="35"/>
      <c r="BJ119" s="35"/>
      <c r="BK119" s="35"/>
      <c r="BL119" s="35"/>
      <c r="BM119" s="35"/>
      <c r="BN119" s="39"/>
    </row>
    <row r="120" spans="1:66" s="13" customFormat="1" ht="9" customHeight="1" x14ac:dyDescent="0.25">
      <c r="B120" s="32"/>
      <c r="C120" s="1"/>
      <c r="D120" s="1"/>
      <c r="E120" s="1"/>
      <c r="F120" s="1"/>
      <c r="G120" s="1"/>
      <c r="H120" s="1"/>
      <c r="I120" s="1"/>
      <c r="J120" s="1"/>
      <c r="K120" s="33"/>
      <c r="L120" s="35"/>
      <c r="M120" s="32"/>
      <c r="N120" s="1"/>
      <c r="O120" s="1"/>
      <c r="P120" s="1"/>
      <c r="Q120" s="1"/>
      <c r="R120" s="1"/>
      <c r="S120" s="1"/>
      <c r="T120" s="1"/>
      <c r="U120" s="1"/>
      <c r="V120" s="33"/>
      <c r="W120" s="35"/>
      <c r="X120" s="38"/>
      <c r="Y120" s="35"/>
      <c r="Z120" s="35"/>
      <c r="AA120" s="35"/>
      <c r="AB120" s="35"/>
      <c r="AC120" s="35"/>
      <c r="AD120" s="35"/>
      <c r="AE120" s="35"/>
      <c r="AF120" s="35"/>
      <c r="AG120" s="39"/>
      <c r="AH120" s="35"/>
      <c r="AI120" s="32"/>
      <c r="AJ120" s="1"/>
      <c r="AK120" s="1"/>
      <c r="AL120" s="1"/>
      <c r="AM120" s="1"/>
      <c r="AN120" s="1"/>
      <c r="AO120" s="1"/>
      <c r="AP120" s="1"/>
      <c r="AQ120" s="1"/>
      <c r="AR120" s="33"/>
      <c r="AS120" s="35"/>
      <c r="AT120" s="32"/>
      <c r="AU120" s="1"/>
      <c r="AV120" s="1"/>
      <c r="AW120" s="1"/>
      <c r="AX120" s="1"/>
      <c r="AY120" s="1"/>
      <c r="AZ120" s="1"/>
      <c r="BA120" s="1"/>
      <c r="BB120" s="1"/>
      <c r="BC120" s="33"/>
      <c r="BD120" s="35"/>
      <c r="BE120" s="38"/>
      <c r="BF120" s="35"/>
      <c r="BG120" s="35"/>
      <c r="BH120" s="35"/>
      <c r="BI120" s="35"/>
      <c r="BJ120" s="35"/>
      <c r="BK120" s="35"/>
      <c r="BL120" s="35"/>
      <c r="BM120" s="35"/>
      <c r="BN120" s="39"/>
    </row>
    <row r="121" spans="1:66" s="13" customFormat="1" ht="9" customHeight="1" x14ac:dyDescent="0.25">
      <c r="B121" s="32"/>
      <c r="C121" s="1"/>
      <c r="D121" s="1"/>
      <c r="E121" s="1"/>
      <c r="F121" s="1"/>
      <c r="G121" s="1"/>
      <c r="H121" s="1"/>
      <c r="I121" s="1"/>
      <c r="J121" s="1"/>
      <c r="K121" s="33"/>
      <c r="L121" s="35"/>
      <c r="M121" s="32"/>
      <c r="N121" s="1"/>
      <c r="O121" s="1"/>
      <c r="P121" s="1"/>
      <c r="Q121" s="1"/>
      <c r="R121" s="1"/>
      <c r="S121" s="1"/>
      <c r="T121" s="1"/>
      <c r="U121" s="1"/>
      <c r="V121" s="33"/>
      <c r="W121" s="35"/>
      <c r="X121" s="38"/>
      <c r="Y121" s="35"/>
      <c r="Z121" s="35"/>
      <c r="AA121" s="35"/>
      <c r="AB121" s="35"/>
      <c r="AC121" s="35"/>
      <c r="AD121" s="35"/>
      <c r="AE121" s="35"/>
      <c r="AF121" s="35"/>
      <c r="AG121" s="39"/>
      <c r="AH121" s="35"/>
      <c r="AI121" s="32"/>
      <c r="AJ121" s="1"/>
      <c r="AK121" s="1"/>
      <c r="AL121" s="1"/>
      <c r="AM121" s="1"/>
      <c r="AN121" s="1"/>
      <c r="AO121" s="1"/>
      <c r="AP121" s="1"/>
      <c r="AQ121" s="1"/>
      <c r="AR121" s="33"/>
      <c r="AS121" s="35"/>
      <c r="AT121" s="32"/>
      <c r="AU121" s="1"/>
      <c r="AV121" s="1"/>
      <c r="AW121" s="1"/>
      <c r="AX121" s="1"/>
      <c r="AY121" s="1"/>
      <c r="AZ121" s="1"/>
      <c r="BA121" s="1"/>
      <c r="BB121" s="1"/>
      <c r="BC121" s="33"/>
      <c r="BD121" s="35"/>
      <c r="BE121" s="38"/>
      <c r="BF121" s="35"/>
      <c r="BG121" s="35"/>
      <c r="BH121" s="35"/>
      <c r="BI121" s="35"/>
      <c r="BJ121" s="35"/>
      <c r="BK121" s="35"/>
      <c r="BL121" s="35"/>
      <c r="BM121" s="35"/>
      <c r="BN121" s="39"/>
    </row>
    <row r="122" spans="1:66" s="13" customFormat="1" ht="9" customHeight="1" x14ac:dyDescent="0.25">
      <c r="B122" s="32"/>
      <c r="C122" s="1"/>
      <c r="D122" s="1"/>
      <c r="E122" s="1"/>
      <c r="F122" s="1"/>
      <c r="G122" s="1"/>
      <c r="H122" s="1"/>
      <c r="I122" s="1"/>
      <c r="J122" s="1"/>
      <c r="K122" s="33"/>
      <c r="L122" s="35"/>
      <c r="M122" s="32"/>
      <c r="N122" s="1"/>
      <c r="O122" s="1"/>
      <c r="P122" s="1"/>
      <c r="Q122" s="1"/>
      <c r="R122" s="1"/>
      <c r="S122" s="1"/>
      <c r="T122" s="1"/>
      <c r="U122" s="1"/>
      <c r="V122" s="33"/>
      <c r="W122" s="35"/>
      <c r="X122" s="38"/>
      <c r="Y122" s="35"/>
      <c r="Z122" s="35"/>
      <c r="AA122" s="35"/>
      <c r="AB122" s="35"/>
      <c r="AC122" s="35"/>
      <c r="AD122" s="35"/>
      <c r="AE122" s="35"/>
      <c r="AF122" s="35"/>
      <c r="AG122" s="39"/>
      <c r="AH122" s="35"/>
      <c r="AI122" s="32"/>
      <c r="AJ122" s="1"/>
      <c r="AK122" s="1"/>
      <c r="AL122" s="1"/>
      <c r="AM122" s="1"/>
      <c r="AN122" s="1"/>
      <c r="AO122" s="1"/>
      <c r="AP122" s="1"/>
      <c r="AQ122" s="1"/>
      <c r="AR122" s="33"/>
      <c r="AS122" s="35"/>
      <c r="AT122" s="32"/>
      <c r="AU122" s="1"/>
      <c r="AV122" s="1"/>
      <c r="AW122" s="1"/>
      <c r="AX122" s="1"/>
      <c r="AY122" s="1"/>
      <c r="AZ122" s="1"/>
      <c r="BA122" s="1"/>
      <c r="BB122" s="1"/>
      <c r="BC122" s="33"/>
      <c r="BD122" s="35"/>
      <c r="BE122" s="38"/>
      <c r="BF122" s="35"/>
      <c r="BG122" s="35"/>
      <c r="BH122" s="35"/>
      <c r="BI122" s="35"/>
      <c r="BJ122" s="35"/>
      <c r="BK122" s="35"/>
      <c r="BL122" s="35"/>
      <c r="BM122" s="35"/>
      <c r="BN122" s="39"/>
    </row>
    <row r="123" spans="1:66" s="13" customFormat="1" ht="9" customHeight="1" x14ac:dyDescent="0.25">
      <c r="B123" s="32"/>
      <c r="C123" s="1"/>
      <c r="D123" s="1"/>
      <c r="E123" s="1"/>
      <c r="F123" s="1"/>
      <c r="G123" s="1"/>
      <c r="H123" s="1"/>
      <c r="I123" s="1"/>
      <c r="J123" s="1"/>
      <c r="K123" s="33"/>
      <c r="L123" s="35"/>
      <c r="M123" s="32"/>
      <c r="N123" s="1"/>
      <c r="O123" s="1"/>
      <c r="P123" s="1"/>
      <c r="Q123" s="1"/>
      <c r="R123" s="1"/>
      <c r="S123" s="1"/>
      <c r="T123" s="1"/>
      <c r="U123" s="1"/>
      <c r="V123" s="33"/>
      <c r="W123" s="35"/>
      <c r="X123" s="38"/>
      <c r="Y123" s="35"/>
      <c r="Z123" s="35"/>
      <c r="AA123" s="35"/>
      <c r="AB123" s="35"/>
      <c r="AC123" s="35"/>
      <c r="AD123" s="35"/>
      <c r="AE123" s="35"/>
      <c r="AF123" s="35"/>
      <c r="AG123" s="39"/>
      <c r="AH123" s="35"/>
      <c r="AI123" s="32"/>
      <c r="AJ123" s="1"/>
      <c r="AK123" s="1"/>
      <c r="AL123" s="1"/>
      <c r="AM123" s="1"/>
      <c r="AN123" s="1"/>
      <c r="AO123" s="1"/>
      <c r="AP123" s="1"/>
      <c r="AQ123" s="1"/>
      <c r="AR123" s="33"/>
      <c r="AS123" s="35"/>
      <c r="AT123" s="32"/>
      <c r="AU123" s="1"/>
      <c r="AV123" s="1"/>
      <c r="AW123" s="1"/>
      <c r="AX123" s="1"/>
      <c r="AY123" s="1"/>
      <c r="AZ123" s="1"/>
      <c r="BA123" s="1"/>
      <c r="BB123" s="1"/>
      <c r="BC123" s="33"/>
      <c r="BD123" s="35"/>
      <c r="BE123" s="38"/>
      <c r="BF123" s="35"/>
      <c r="BG123" s="35"/>
      <c r="BH123" s="35"/>
      <c r="BI123" s="35"/>
      <c r="BJ123" s="35"/>
      <c r="BK123" s="35"/>
      <c r="BL123" s="35"/>
      <c r="BM123" s="35"/>
      <c r="BN123" s="39"/>
    </row>
    <row r="124" spans="1:66" s="13" customFormat="1" ht="9" customHeight="1" x14ac:dyDescent="0.25">
      <c r="B124" s="38" t="s">
        <v>118</v>
      </c>
      <c r="C124" s="35"/>
      <c r="D124" s="35"/>
      <c r="E124" s="35"/>
      <c r="F124" s="35"/>
      <c r="G124" s="35"/>
      <c r="H124" s="35"/>
      <c r="I124" s="35"/>
      <c r="J124" s="35"/>
      <c r="K124" s="39"/>
      <c r="L124" s="35"/>
      <c r="M124" s="38"/>
      <c r="N124" s="35"/>
      <c r="O124" s="35"/>
      <c r="P124" s="35"/>
      <c r="Q124" s="35"/>
      <c r="R124" s="35"/>
      <c r="S124" s="35"/>
      <c r="T124" s="35"/>
      <c r="U124" s="35"/>
      <c r="V124" s="39"/>
      <c r="W124" s="35"/>
      <c r="X124" s="38" t="s">
        <v>118</v>
      </c>
      <c r="Y124" s="35"/>
      <c r="Z124" s="35"/>
      <c r="AA124" s="35"/>
      <c r="AB124" s="35"/>
      <c r="AC124" s="35"/>
      <c r="AD124" s="315" t="s">
        <v>95</v>
      </c>
      <c r="AE124" s="316"/>
      <c r="AF124" s="316"/>
      <c r="AG124" s="317"/>
      <c r="AH124" s="35"/>
      <c r="AI124" s="38"/>
      <c r="AJ124" s="35"/>
      <c r="AK124" s="35"/>
      <c r="AL124" s="35"/>
      <c r="AM124" s="35"/>
      <c r="AN124" s="35"/>
      <c r="AO124" s="35"/>
      <c r="AP124" s="35"/>
      <c r="AQ124" s="35"/>
      <c r="AR124" s="39"/>
      <c r="AS124" s="35"/>
      <c r="AT124" s="38"/>
      <c r="AU124" s="35"/>
      <c r="AV124" s="35"/>
      <c r="AW124" s="35"/>
      <c r="AX124" s="35"/>
      <c r="AY124" s="35"/>
      <c r="AZ124" s="35"/>
      <c r="BA124" s="35"/>
      <c r="BB124" s="35"/>
      <c r="BC124" s="39"/>
      <c r="BD124" s="35"/>
      <c r="BE124" s="38" t="s">
        <v>275</v>
      </c>
      <c r="BF124" s="35"/>
      <c r="BG124" s="35"/>
      <c r="BH124" s="35"/>
      <c r="BI124" s="35"/>
      <c r="BJ124" s="35"/>
      <c r="BK124" s="315" t="s">
        <v>95</v>
      </c>
      <c r="BL124" s="316"/>
      <c r="BM124" s="316"/>
      <c r="BN124" s="317"/>
    </row>
    <row r="125" spans="1:66" s="13" customFormat="1" ht="9" customHeight="1" x14ac:dyDescent="0.25">
      <c r="B125" s="11"/>
      <c r="C125" s="1"/>
      <c r="D125" s="1"/>
      <c r="E125" s="1"/>
      <c r="F125" s="1"/>
      <c r="G125" s="315" t="s">
        <v>60</v>
      </c>
      <c r="H125" s="317"/>
      <c r="I125" s="318" t="s">
        <v>95</v>
      </c>
      <c r="J125" s="319"/>
      <c r="K125" s="320"/>
      <c r="L125" s="35"/>
      <c r="M125" s="38" t="s">
        <v>118</v>
      </c>
      <c r="N125" s="35"/>
      <c r="O125" s="35"/>
      <c r="P125" s="35"/>
      <c r="Q125" s="35"/>
      <c r="R125" s="35"/>
      <c r="S125" s="315" t="s">
        <v>95</v>
      </c>
      <c r="T125" s="316"/>
      <c r="U125" s="316"/>
      <c r="V125" s="317"/>
      <c r="W125" s="35"/>
      <c r="X125" s="308" t="s">
        <v>119</v>
      </c>
      <c r="Y125" s="308"/>
      <c r="Z125" s="308"/>
      <c r="AA125" s="308"/>
      <c r="AB125" s="308"/>
      <c r="AC125" s="308"/>
      <c r="AD125" s="309">
        <f>4490*B3</f>
        <v>8531</v>
      </c>
      <c r="AE125" s="309"/>
      <c r="AF125" s="309"/>
      <c r="AG125" s="309"/>
      <c r="AH125" s="35"/>
      <c r="AI125" s="38"/>
      <c r="AJ125" s="35"/>
      <c r="AK125" s="35"/>
      <c r="AL125" s="35"/>
      <c r="AM125" s="35"/>
      <c r="AN125" s="35"/>
      <c r="AO125" s="315" t="s">
        <v>95</v>
      </c>
      <c r="AP125" s="316"/>
      <c r="AQ125" s="316"/>
      <c r="AR125" s="317"/>
      <c r="AS125" s="35"/>
      <c r="AT125" s="40"/>
      <c r="AU125" s="35"/>
      <c r="AV125" s="35"/>
      <c r="AW125" s="35"/>
      <c r="AX125" s="35"/>
      <c r="AY125" s="35"/>
      <c r="AZ125" s="315" t="s">
        <v>95</v>
      </c>
      <c r="BA125" s="316"/>
      <c r="BB125" s="316"/>
      <c r="BC125" s="317"/>
      <c r="BD125" s="40"/>
      <c r="BE125" s="308" t="s">
        <v>120</v>
      </c>
      <c r="BF125" s="308"/>
      <c r="BG125" s="308"/>
      <c r="BH125" s="308"/>
      <c r="BI125" s="308"/>
      <c r="BJ125" s="308"/>
      <c r="BK125" s="309">
        <f>6735*B3</f>
        <v>12796.5</v>
      </c>
      <c r="BL125" s="309"/>
      <c r="BM125" s="309"/>
      <c r="BN125" s="309"/>
    </row>
    <row r="126" spans="1:66" s="13" customFormat="1" ht="9" customHeight="1" x14ac:dyDescent="0.25">
      <c r="B126" s="308" t="s">
        <v>99</v>
      </c>
      <c r="C126" s="308"/>
      <c r="D126" s="308"/>
      <c r="E126" s="308"/>
      <c r="F126" s="308"/>
      <c r="G126" s="309">
        <f>1204*B3</f>
        <v>2287.6</v>
      </c>
      <c r="H126" s="309"/>
      <c r="I126" s="309">
        <f>1952*B3</f>
        <v>3708.7999999999997</v>
      </c>
      <c r="J126" s="309"/>
      <c r="K126" s="309"/>
      <c r="L126" s="3"/>
      <c r="M126" s="308" t="s">
        <v>121</v>
      </c>
      <c r="N126" s="308"/>
      <c r="O126" s="308"/>
      <c r="P126" s="308"/>
      <c r="Q126" s="308"/>
      <c r="R126" s="308"/>
      <c r="S126" s="309">
        <f>4159*B3</f>
        <v>7902.0999999999995</v>
      </c>
      <c r="T126" s="309"/>
      <c r="U126" s="309"/>
      <c r="V126" s="309"/>
      <c r="W126" s="3"/>
      <c r="X126" s="308" t="s">
        <v>121</v>
      </c>
      <c r="Y126" s="308"/>
      <c r="Z126" s="308"/>
      <c r="AA126" s="308"/>
      <c r="AB126" s="308"/>
      <c r="AC126" s="308"/>
      <c r="AD126" s="309">
        <f>4534*B3</f>
        <v>8614.6</v>
      </c>
      <c r="AE126" s="309"/>
      <c r="AF126" s="309"/>
      <c r="AG126" s="309"/>
      <c r="AH126" s="3"/>
      <c r="AI126" s="308" t="s">
        <v>121</v>
      </c>
      <c r="AJ126" s="308"/>
      <c r="AK126" s="308"/>
      <c r="AL126" s="308"/>
      <c r="AM126" s="308"/>
      <c r="AN126" s="308"/>
      <c r="AO126" s="309">
        <f>4415*B3</f>
        <v>8388.5</v>
      </c>
      <c r="AP126" s="309"/>
      <c r="AQ126" s="309"/>
      <c r="AR126" s="309"/>
      <c r="AS126" s="3"/>
      <c r="AT126" s="308" t="s">
        <v>122</v>
      </c>
      <c r="AU126" s="308"/>
      <c r="AV126" s="308"/>
      <c r="AW126" s="308"/>
      <c r="AX126" s="308"/>
      <c r="AY126" s="308"/>
      <c r="AZ126" s="309">
        <f>6567*B3</f>
        <v>12477.3</v>
      </c>
      <c r="BA126" s="309"/>
      <c r="BB126" s="309"/>
      <c r="BC126" s="309"/>
      <c r="BD126" s="3"/>
      <c r="BE126" s="308" t="s">
        <v>123</v>
      </c>
      <c r="BF126" s="308"/>
      <c r="BG126" s="308"/>
      <c r="BH126" s="308"/>
      <c r="BI126" s="308"/>
      <c r="BJ126" s="308"/>
      <c r="BK126" s="309">
        <f>6779*B3</f>
        <v>12880.099999999999</v>
      </c>
      <c r="BL126" s="309"/>
      <c r="BM126" s="309"/>
      <c r="BN126" s="309"/>
    </row>
    <row r="127" spans="1:66" s="13" customFormat="1" ht="9" customHeight="1" x14ac:dyDescent="0.25">
      <c r="B127" s="310" t="s">
        <v>105</v>
      </c>
      <c r="C127" s="310"/>
      <c r="D127" s="310"/>
      <c r="E127" s="310"/>
      <c r="F127" s="310"/>
      <c r="G127" s="311">
        <f>1279*B3</f>
        <v>2430.1</v>
      </c>
      <c r="H127" s="311"/>
      <c r="I127" s="311">
        <f>2027*B3</f>
        <v>3851.2999999999997</v>
      </c>
      <c r="J127" s="311"/>
      <c r="K127" s="311"/>
      <c r="L127" s="28"/>
      <c r="M127" s="310" t="s">
        <v>124</v>
      </c>
      <c r="N127" s="310"/>
      <c r="O127" s="310"/>
      <c r="P127" s="310"/>
      <c r="Q127" s="310"/>
      <c r="R127" s="310"/>
      <c r="S127" s="311">
        <f>6546*B3</f>
        <v>12437.4</v>
      </c>
      <c r="T127" s="311"/>
      <c r="U127" s="311"/>
      <c r="V127" s="311"/>
      <c r="W127" s="28"/>
      <c r="X127" s="310" t="s">
        <v>124</v>
      </c>
      <c r="Y127" s="310"/>
      <c r="Z127" s="310"/>
      <c r="AA127" s="310"/>
      <c r="AB127" s="310"/>
      <c r="AC127" s="310"/>
      <c r="AD127" s="311">
        <f>6845*B3</f>
        <v>13005.5</v>
      </c>
      <c r="AE127" s="311"/>
      <c r="AF127" s="311"/>
      <c r="AG127" s="311"/>
      <c r="AH127" s="28"/>
      <c r="AI127" s="310" t="s">
        <v>124</v>
      </c>
      <c r="AJ127" s="310"/>
      <c r="AK127" s="310"/>
      <c r="AL127" s="310"/>
      <c r="AM127" s="310"/>
      <c r="AN127" s="310"/>
      <c r="AO127" s="311">
        <f>6039*B3</f>
        <v>11474.1</v>
      </c>
      <c r="AP127" s="311"/>
      <c r="AQ127" s="311"/>
      <c r="AR127" s="311"/>
      <c r="AS127" s="28"/>
      <c r="AT127" s="310" t="s">
        <v>125</v>
      </c>
      <c r="AU127" s="310"/>
      <c r="AV127" s="310"/>
      <c r="AW127" s="310"/>
      <c r="AX127" s="310"/>
      <c r="AY127" s="310"/>
      <c r="AZ127" s="311">
        <f>9104*B3</f>
        <v>17297.599999999999</v>
      </c>
      <c r="BA127" s="311"/>
      <c r="BB127" s="311"/>
      <c r="BC127" s="311"/>
      <c r="BD127" s="28"/>
      <c r="BE127" s="310" t="s">
        <v>126</v>
      </c>
      <c r="BF127" s="310"/>
      <c r="BG127" s="310"/>
      <c r="BH127" s="310"/>
      <c r="BI127" s="310"/>
      <c r="BJ127" s="310"/>
      <c r="BK127" s="311">
        <f>10212*B3</f>
        <v>19402.8</v>
      </c>
      <c r="BL127" s="311"/>
      <c r="BM127" s="311"/>
      <c r="BN127" s="311"/>
    </row>
    <row r="129" spans="2:67" ht="9" customHeight="1" x14ac:dyDescent="0.25">
      <c r="B129" s="23" t="s">
        <v>353</v>
      </c>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row>
    <row r="130" spans="2:67" ht="69.95" customHeight="1" x14ac:dyDescent="0.25">
      <c r="B130" s="115"/>
      <c r="C130" s="110"/>
      <c r="D130" s="110"/>
      <c r="E130" s="110"/>
      <c r="F130" s="110"/>
      <c r="G130" s="110"/>
      <c r="H130" s="110"/>
      <c r="I130" s="110"/>
      <c r="J130" s="110"/>
      <c r="K130" s="110"/>
      <c r="L130" s="110"/>
      <c r="M130" s="110"/>
      <c r="N130" s="110"/>
      <c r="O130" s="110"/>
      <c r="P130" s="110"/>
      <c r="Q130" s="110"/>
      <c r="R130" s="110"/>
      <c r="S130" s="115"/>
      <c r="T130" s="110"/>
      <c r="U130" s="110"/>
      <c r="V130" s="110"/>
      <c r="W130" s="110"/>
      <c r="X130" s="110"/>
      <c r="Y130" s="110"/>
      <c r="Z130" s="110"/>
      <c r="AA130" s="110"/>
      <c r="AB130" s="110"/>
      <c r="AC130" s="110"/>
      <c r="AD130" s="110"/>
      <c r="AE130" s="110"/>
      <c r="AF130" s="110"/>
      <c r="AG130" s="110"/>
      <c r="AH130" s="110"/>
      <c r="AI130" s="115"/>
      <c r="AJ130" s="110"/>
      <c r="AK130" s="110"/>
      <c r="AL130" s="110"/>
      <c r="AM130" s="110"/>
      <c r="AN130" s="110"/>
      <c r="AO130" s="110"/>
      <c r="AP130" s="110"/>
      <c r="AQ130" s="110"/>
      <c r="AR130" s="110"/>
      <c r="AS130" s="110"/>
      <c r="AT130" s="110"/>
      <c r="AU130" s="110"/>
      <c r="AV130" s="110"/>
      <c r="AW130" s="110"/>
      <c r="AX130" s="110"/>
      <c r="AY130" s="110"/>
      <c r="AZ130" s="110"/>
      <c r="BA130" s="111"/>
    </row>
    <row r="131" spans="2:67" ht="69.95" customHeight="1" x14ac:dyDescent="0.25">
      <c r="B131" s="116"/>
      <c r="C131" s="23"/>
      <c r="D131" s="23"/>
      <c r="E131" s="23"/>
      <c r="F131" s="23"/>
      <c r="G131" s="23"/>
      <c r="H131" s="23"/>
      <c r="I131" s="23"/>
      <c r="J131" s="23"/>
      <c r="K131" s="23"/>
      <c r="L131" s="23"/>
      <c r="M131" s="23"/>
      <c r="N131" s="23"/>
      <c r="O131" s="23"/>
      <c r="P131" s="23"/>
      <c r="Q131" s="23"/>
      <c r="R131" s="23"/>
      <c r="S131" s="116"/>
      <c r="T131" s="23"/>
      <c r="U131" s="23"/>
      <c r="V131" s="23"/>
      <c r="W131" s="23"/>
      <c r="X131" s="23"/>
      <c r="Y131" s="23"/>
      <c r="Z131" s="23"/>
      <c r="AA131" s="23"/>
      <c r="AB131" s="23"/>
      <c r="AC131" s="23"/>
      <c r="AD131" s="23"/>
      <c r="AE131" s="23"/>
      <c r="AF131" s="23"/>
      <c r="AG131" s="23"/>
      <c r="AH131" s="23"/>
      <c r="AI131" s="116"/>
      <c r="AJ131" s="23"/>
      <c r="AK131" s="23"/>
      <c r="AL131" s="23"/>
      <c r="AM131" s="23"/>
      <c r="AN131" s="23"/>
      <c r="AO131" s="23"/>
      <c r="AP131" s="23"/>
      <c r="AQ131" s="23"/>
      <c r="AR131" s="23"/>
      <c r="AS131" s="23"/>
      <c r="AT131" s="23"/>
      <c r="AU131" s="23"/>
      <c r="AV131" s="23"/>
      <c r="AW131" s="23"/>
      <c r="AX131" s="23"/>
      <c r="AY131" s="23"/>
      <c r="AZ131" s="23"/>
      <c r="BA131" s="112"/>
    </row>
    <row r="132" spans="2:67" ht="69.95" customHeight="1" x14ac:dyDescent="0.25">
      <c r="B132" s="116"/>
      <c r="C132" s="23"/>
      <c r="D132" s="23"/>
      <c r="E132" s="23"/>
      <c r="F132" s="23"/>
      <c r="G132" s="23"/>
      <c r="H132" s="23"/>
      <c r="I132" s="23"/>
      <c r="J132" s="23"/>
      <c r="K132" s="23"/>
      <c r="L132" s="23"/>
      <c r="M132" s="23"/>
      <c r="N132" s="23"/>
      <c r="O132" s="23"/>
      <c r="P132" s="23"/>
      <c r="Q132" s="23"/>
      <c r="R132" s="23"/>
      <c r="S132" s="116"/>
      <c r="T132" s="23"/>
      <c r="U132" s="23"/>
      <c r="V132" s="23"/>
      <c r="W132" s="23"/>
      <c r="X132" s="23"/>
      <c r="Y132" s="23"/>
      <c r="Z132" s="23"/>
      <c r="AA132" s="23"/>
      <c r="AB132" s="23"/>
      <c r="AC132" s="23"/>
      <c r="AD132" s="23"/>
      <c r="AE132" s="23"/>
      <c r="AF132" s="23"/>
      <c r="AG132" s="23"/>
      <c r="AH132" s="23"/>
      <c r="AI132" s="116"/>
      <c r="AJ132" s="23"/>
      <c r="AK132" s="23"/>
      <c r="AL132" s="23"/>
      <c r="AM132" s="23"/>
      <c r="AN132" s="23"/>
      <c r="AO132" s="23"/>
      <c r="AP132" s="23"/>
      <c r="AQ132" s="23"/>
      <c r="AR132" s="23"/>
      <c r="AS132" s="23"/>
      <c r="AT132" s="23"/>
      <c r="AU132" s="23"/>
      <c r="AV132" s="23"/>
      <c r="AW132" s="23"/>
      <c r="AX132" s="23"/>
      <c r="AY132" s="23"/>
      <c r="AZ132" s="23"/>
      <c r="BA132" s="112"/>
    </row>
    <row r="133" spans="2:67" ht="69.95" customHeight="1" x14ac:dyDescent="0.25">
      <c r="B133" s="116"/>
      <c r="C133" s="23"/>
      <c r="D133" s="23"/>
      <c r="E133" s="23"/>
      <c r="F133" s="23"/>
      <c r="G133" s="23"/>
      <c r="H133" s="23"/>
      <c r="I133" s="23"/>
      <c r="J133" s="23"/>
      <c r="K133" s="23"/>
      <c r="L133" s="23"/>
      <c r="M133" s="23"/>
      <c r="N133" s="23"/>
      <c r="O133" s="23"/>
      <c r="P133" s="23"/>
      <c r="Q133" s="23"/>
      <c r="R133" s="23"/>
      <c r="S133" s="116"/>
      <c r="T133" s="23"/>
      <c r="U133" s="23"/>
      <c r="V133" s="23"/>
      <c r="W133" s="23"/>
      <c r="X133" s="23"/>
      <c r="Y133" s="23"/>
      <c r="Z133" s="23"/>
      <c r="AA133" s="23"/>
      <c r="AB133" s="23"/>
      <c r="AC133" s="23"/>
      <c r="AD133" s="23"/>
      <c r="AE133" s="23"/>
      <c r="AF133" s="23"/>
      <c r="AG133" s="23"/>
      <c r="AH133" s="23"/>
      <c r="AI133" s="116"/>
      <c r="AJ133" s="23"/>
      <c r="AK133" s="23"/>
      <c r="AL133" s="23"/>
      <c r="AM133" s="23"/>
      <c r="AN133" s="23"/>
      <c r="AO133" s="23"/>
      <c r="AP133" s="23"/>
      <c r="AQ133" s="23"/>
      <c r="AR133" s="23"/>
      <c r="AS133" s="23"/>
      <c r="AT133" s="23"/>
      <c r="AU133" s="23"/>
      <c r="AV133" s="23"/>
      <c r="AW133" s="23"/>
      <c r="AX133" s="23"/>
      <c r="AY133" s="23"/>
      <c r="AZ133" s="23"/>
      <c r="BA133" s="112"/>
    </row>
    <row r="134" spans="2:67" ht="69.95" customHeight="1" x14ac:dyDescent="0.25">
      <c r="B134" s="116"/>
      <c r="C134" s="23"/>
      <c r="D134" s="23"/>
      <c r="E134" s="23"/>
      <c r="F134" s="23"/>
      <c r="G134" s="23"/>
      <c r="H134" s="23"/>
      <c r="I134" s="23"/>
      <c r="J134" s="23"/>
      <c r="K134" s="23"/>
      <c r="L134" s="23"/>
      <c r="M134" s="23"/>
      <c r="N134" s="23"/>
      <c r="O134" s="23"/>
      <c r="P134" s="23"/>
      <c r="Q134" s="23"/>
      <c r="R134" s="23"/>
      <c r="S134" s="115"/>
      <c r="T134" s="110"/>
      <c r="U134" s="110"/>
      <c r="V134" s="110"/>
      <c r="W134" s="110"/>
      <c r="X134" s="110"/>
      <c r="Y134" s="110"/>
      <c r="Z134" s="110"/>
      <c r="AA134" s="120" t="s">
        <v>354</v>
      </c>
      <c r="AB134" s="110"/>
      <c r="AC134" s="110"/>
      <c r="AD134" s="110"/>
      <c r="AE134" s="110"/>
      <c r="AF134" s="110"/>
      <c r="AG134" s="110"/>
      <c r="AH134" s="110"/>
      <c r="AI134" s="120"/>
      <c r="AJ134" s="110"/>
      <c r="AK134" s="110"/>
      <c r="AL134" s="110"/>
      <c r="AM134" s="110"/>
      <c r="AN134" s="110"/>
      <c r="AO134" s="110"/>
      <c r="AP134" s="110"/>
      <c r="AQ134" s="110"/>
      <c r="AR134" s="110"/>
      <c r="AS134" s="110"/>
      <c r="AT134" s="110"/>
      <c r="AU134" s="110"/>
      <c r="AV134" s="110"/>
      <c r="AW134" s="110"/>
      <c r="AX134" s="110"/>
      <c r="AY134" s="66"/>
      <c r="AZ134" s="66"/>
      <c r="BA134" s="119"/>
    </row>
    <row r="135" spans="2:67" ht="69.95" customHeight="1" x14ac:dyDescent="0.25">
      <c r="B135" s="117"/>
      <c r="C135" s="113"/>
      <c r="D135" s="113"/>
      <c r="E135" s="113"/>
      <c r="F135" s="113"/>
      <c r="G135" s="113"/>
      <c r="H135" s="113"/>
      <c r="I135" s="113"/>
      <c r="J135" s="113"/>
      <c r="K135" s="113"/>
      <c r="L135" s="113"/>
      <c r="M135" s="113"/>
      <c r="N135" s="113"/>
      <c r="O135" s="113"/>
      <c r="P135" s="113"/>
      <c r="Q135" s="113"/>
      <c r="R135" s="113"/>
      <c r="S135" s="117"/>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4"/>
      <c r="AZ135" s="114"/>
      <c r="BA135" s="118"/>
    </row>
  </sheetData>
  <mergeCells count="366">
    <mergeCell ref="B3:K3"/>
    <mergeCell ref="M3:BN3"/>
    <mergeCell ref="BE1:BN1"/>
    <mergeCell ref="A1:BC1"/>
    <mergeCell ref="A2:BN2"/>
    <mergeCell ref="BE5:BG5"/>
    <mergeCell ref="BH5:BN5"/>
    <mergeCell ref="M6:V6"/>
    <mergeCell ref="X6:AG6"/>
    <mergeCell ref="AI6:AR6"/>
    <mergeCell ref="AT6:BC6"/>
    <mergeCell ref="M5:O5"/>
    <mergeCell ref="P5:V5"/>
    <mergeCell ref="X5:Z5"/>
    <mergeCell ref="AA5:AG5"/>
    <mergeCell ref="AI5:AK5"/>
    <mergeCell ref="BE6:BN6"/>
    <mergeCell ref="B5:K17"/>
    <mergeCell ref="M15:R15"/>
    <mergeCell ref="S15:V15"/>
    <mergeCell ref="AZ15:BA15"/>
    <mergeCell ref="BB15:BC15"/>
    <mergeCell ref="M16:R16"/>
    <mergeCell ref="S16:V16"/>
    <mergeCell ref="AL5:AR5"/>
    <mergeCell ref="AT5:AV5"/>
    <mergeCell ref="AW5:BC5"/>
    <mergeCell ref="AD16:AE16"/>
    <mergeCell ref="AF16:AG16"/>
    <mergeCell ref="AO16:AP16"/>
    <mergeCell ref="AQ16:AR16"/>
    <mergeCell ref="AT16:AY16"/>
    <mergeCell ref="AZ16:BC16"/>
    <mergeCell ref="S14:T14"/>
    <mergeCell ref="U14:V14"/>
    <mergeCell ref="AT17:AY17"/>
    <mergeCell ref="AZ17:BC17"/>
    <mergeCell ref="BE17:BJ17"/>
    <mergeCell ref="BK17:BN17"/>
    <mergeCell ref="B19:K31"/>
    <mergeCell ref="M19:O19"/>
    <mergeCell ref="P19:V19"/>
    <mergeCell ref="X19:Z19"/>
    <mergeCell ref="AA19:AG19"/>
    <mergeCell ref="AI19:AK19"/>
    <mergeCell ref="M17:R17"/>
    <mergeCell ref="S17:V17"/>
    <mergeCell ref="X17:AC17"/>
    <mergeCell ref="AD17:AG17"/>
    <mergeCell ref="AI17:AN17"/>
    <mergeCell ref="AO17:AR17"/>
    <mergeCell ref="AL19:AR19"/>
    <mergeCell ref="AT19:AV19"/>
    <mergeCell ref="AW19:BC19"/>
    <mergeCell ref="BE19:BG19"/>
    <mergeCell ref="BH19:BN19"/>
    <mergeCell ref="M20:V20"/>
    <mergeCell ref="X20:AG20"/>
    <mergeCell ref="AI20:AR20"/>
    <mergeCell ref="AT20:BC20"/>
    <mergeCell ref="BE20:BN20"/>
    <mergeCell ref="M21:V21"/>
    <mergeCell ref="X21:AG21"/>
    <mergeCell ref="AI21:AR21"/>
    <mergeCell ref="M31:R31"/>
    <mergeCell ref="S31:V31"/>
    <mergeCell ref="X31:AC31"/>
    <mergeCell ref="AD31:AG31"/>
    <mergeCell ref="AI31:AN31"/>
    <mergeCell ref="AO31:AR31"/>
    <mergeCell ref="AT31:AY31"/>
    <mergeCell ref="AZ31:BC31"/>
    <mergeCell ref="BE31:BJ31"/>
    <mergeCell ref="BK31:BN31"/>
    <mergeCell ref="AI34:AR34"/>
    <mergeCell ref="BE34:BN34"/>
    <mergeCell ref="B35:K35"/>
    <mergeCell ref="M35:V35"/>
    <mergeCell ref="AI35:AR35"/>
    <mergeCell ref="AI33:AK33"/>
    <mergeCell ref="AL33:AR33"/>
    <mergeCell ref="AT33:AV33"/>
    <mergeCell ref="AW33:BC33"/>
    <mergeCell ref="BE33:BG33"/>
    <mergeCell ref="BH33:BN33"/>
    <mergeCell ref="B33:D33"/>
    <mergeCell ref="E33:K33"/>
    <mergeCell ref="M33:O33"/>
    <mergeCell ref="P33:V33"/>
    <mergeCell ref="X33:Z33"/>
    <mergeCell ref="AA33:AG33"/>
    <mergeCell ref="B34:K34"/>
    <mergeCell ref="M34:V34"/>
    <mergeCell ref="X34:AG34"/>
    <mergeCell ref="X44:AG44"/>
    <mergeCell ref="AI44:AR44"/>
    <mergeCell ref="B45:G45"/>
    <mergeCell ref="H45:K45"/>
    <mergeCell ref="M45:R45"/>
    <mergeCell ref="S45:V45"/>
    <mergeCell ref="X45:AC45"/>
    <mergeCell ref="AD45:AG45"/>
    <mergeCell ref="AI45:AN45"/>
    <mergeCell ref="AO45:AR45"/>
    <mergeCell ref="AT45:AY45"/>
    <mergeCell ref="AZ45:BC45"/>
    <mergeCell ref="BE45:BJ45"/>
    <mergeCell ref="BK45:BN45"/>
    <mergeCell ref="B47:D47"/>
    <mergeCell ref="E47:K47"/>
    <mergeCell ref="M47:O47"/>
    <mergeCell ref="P47:V47"/>
    <mergeCell ref="X47:Z47"/>
    <mergeCell ref="AA47:AG47"/>
    <mergeCell ref="X48:AG48"/>
    <mergeCell ref="AI48:AR48"/>
    <mergeCell ref="AT48:BC48"/>
    <mergeCell ref="BE48:BN48"/>
    <mergeCell ref="AI47:AK47"/>
    <mergeCell ref="AL47:AR47"/>
    <mergeCell ref="AT47:AV47"/>
    <mergeCell ref="AW47:BC47"/>
    <mergeCell ref="BE47:BG47"/>
    <mergeCell ref="BH47:BN47"/>
    <mergeCell ref="B58:G58"/>
    <mergeCell ref="H58:K58"/>
    <mergeCell ref="M58:R58"/>
    <mergeCell ref="S58:V58"/>
    <mergeCell ref="B59:G59"/>
    <mergeCell ref="H59:K59"/>
    <mergeCell ref="M59:R59"/>
    <mergeCell ref="S59:V59"/>
    <mergeCell ref="B48:K48"/>
    <mergeCell ref="M48:V48"/>
    <mergeCell ref="BE59:BJ59"/>
    <mergeCell ref="BK59:BN59"/>
    <mergeCell ref="B61:D61"/>
    <mergeCell ref="E61:K61"/>
    <mergeCell ref="M61:O61"/>
    <mergeCell ref="P61:V61"/>
    <mergeCell ref="X61:Z61"/>
    <mergeCell ref="AA61:AG61"/>
    <mergeCell ref="AI61:AK61"/>
    <mergeCell ref="AL61:AR61"/>
    <mergeCell ref="X59:AC59"/>
    <mergeCell ref="AD59:AG59"/>
    <mergeCell ref="AI59:AN59"/>
    <mergeCell ref="AO59:AR59"/>
    <mergeCell ref="AT59:AY59"/>
    <mergeCell ref="AZ59:BC59"/>
    <mergeCell ref="AT61:AV61"/>
    <mergeCell ref="AW61:BC61"/>
    <mergeCell ref="BE61:BG61"/>
    <mergeCell ref="BH61:BN61"/>
    <mergeCell ref="B62:K62"/>
    <mergeCell ref="M62:V62"/>
    <mergeCell ref="X62:AG62"/>
    <mergeCell ref="AT62:AV62"/>
    <mergeCell ref="AW62:BC62"/>
    <mergeCell ref="BE62:BN62"/>
    <mergeCell ref="AT87:AX87"/>
    <mergeCell ref="AT89:AV89"/>
    <mergeCell ref="AW89:BC89"/>
    <mergeCell ref="BE89:BN89"/>
    <mergeCell ref="AT88:AV88"/>
    <mergeCell ref="AW88:BC88"/>
    <mergeCell ref="BE88:BG88"/>
    <mergeCell ref="BH88:BN88"/>
    <mergeCell ref="AY71:AZ71"/>
    <mergeCell ref="BA71:BC71"/>
    <mergeCell ref="AT72:AX72"/>
    <mergeCell ref="AY72:AZ72"/>
    <mergeCell ref="BA72:BC72"/>
    <mergeCell ref="BJ72:BK72"/>
    <mergeCell ref="BL72:BN72"/>
    <mergeCell ref="B86:K86"/>
    <mergeCell ref="AC87:AD87"/>
    <mergeCell ref="AE87:AG87"/>
    <mergeCell ref="B87:G87"/>
    <mergeCell ref="H87:K87"/>
    <mergeCell ref="M87:Q87"/>
    <mergeCell ref="R87:S87"/>
    <mergeCell ref="T87:V87"/>
    <mergeCell ref="X87:AB87"/>
    <mergeCell ref="BA73:BC73"/>
    <mergeCell ref="BJ73:BK73"/>
    <mergeCell ref="B73:G73"/>
    <mergeCell ref="H73:K73"/>
    <mergeCell ref="M73:R73"/>
    <mergeCell ref="S73:V73"/>
    <mergeCell ref="X73:AC73"/>
    <mergeCell ref="AD73:AG73"/>
    <mergeCell ref="B75:D75"/>
    <mergeCell ref="E75:K75"/>
    <mergeCell ref="M75:O75"/>
    <mergeCell ref="AT75:AV75"/>
    <mergeCell ref="M86:Q86"/>
    <mergeCell ref="R86:S86"/>
    <mergeCell ref="T86:V86"/>
    <mergeCell ref="X86:AB86"/>
    <mergeCell ref="AC86:AD86"/>
    <mergeCell ref="AE86:AG86"/>
    <mergeCell ref="BK113:BN113"/>
    <mergeCell ref="B113:G113"/>
    <mergeCell ref="H113:K113"/>
    <mergeCell ref="M113:R113"/>
    <mergeCell ref="S113:V113"/>
    <mergeCell ref="X113:AC113"/>
    <mergeCell ref="AD113:AG113"/>
    <mergeCell ref="AI112:AN112"/>
    <mergeCell ref="AO112:AR112"/>
    <mergeCell ref="AT112:AY112"/>
    <mergeCell ref="AZ112:BC112"/>
    <mergeCell ref="BE112:BJ112"/>
    <mergeCell ref="BK112:BN112"/>
    <mergeCell ref="B112:G112"/>
    <mergeCell ref="H112:K112"/>
    <mergeCell ref="M112:R112"/>
    <mergeCell ref="S112:V112"/>
    <mergeCell ref="X112:AC112"/>
    <mergeCell ref="AD112:AG112"/>
    <mergeCell ref="AI113:AN113"/>
    <mergeCell ref="AO113:AR113"/>
    <mergeCell ref="AT113:AY113"/>
    <mergeCell ref="AZ113:BC113"/>
    <mergeCell ref="BE113:BJ113"/>
    <mergeCell ref="BL73:BN73"/>
    <mergeCell ref="B101:D101"/>
    <mergeCell ref="E101:K101"/>
    <mergeCell ref="M101:O101"/>
    <mergeCell ref="P101:V101"/>
    <mergeCell ref="X101:Z101"/>
    <mergeCell ref="AA101:AG101"/>
    <mergeCell ref="M85:Q85"/>
    <mergeCell ref="R85:S85"/>
    <mergeCell ref="T85:V85"/>
    <mergeCell ref="AC85:AD85"/>
    <mergeCell ref="AE85:AG85"/>
    <mergeCell ref="AY85:AZ85"/>
    <mergeCell ref="BA85:BC85"/>
    <mergeCell ref="P75:V75"/>
    <mergeCell ref="X75:Z75"/>
    <mergeCell ref="AA75:AG75"/>
    <mergeCell ref="AI75:AK75"/>
    <mergeCell ref="AL75:AR75"/>
    <mergeCell ref="AI101:AK101"/>
    <mergeCell ref="AL101:AR101"/>
    <mergeCell ref="AT101:AV101"/>
    <mergeCell ref="AT73:AX73"/>
    <mergeCell ref="AY73:AZ73"/>
    <mergeCell ref="B88:D88"/>
    <mergeCell ref="E88:K88"/>
    <mergeCell ref="M88:O88"/>
    <mergeCell ref="P88:V88"/>
    <mergeCell ref="B89:K89"/>
    <mergeCell ref="M89:V89"/>
    <mergeCell ref="AI90:AR90"/>
    <mergeCell ref="X88:Z88"/>
    <mergeCell ref="AA88:AG88"/>
    <mergeCell ref="AI88:AK88"/>
    <mergeCell ref="AL88:AR88"/>
    <mergeCell ref="AY99:AZ99"/>
    <mergeCell ref="BA99:BC99"/>
    <mergeCell ref="AY98:AZ98"/>
    <mergeCell ref="AT100:AX100"/>
    <mergeCell ref="AY100:AZ100"/>
    <mergeCell ref="BA100:BC100"/>
    <mergeCell ref="AI87:AN87"/>
    <mergeCell ref="AO87:AR87"/>
    <mergeCell ref="X89:AG89"/>
    <mergeCell ref="AI89:AR89"/>
    <mergeCell ref="X100:AC100"/>
    <mergeCell ref="AD100:AG100"/>
    <mergeCell ref="AI100:AN100"/>
    <mergeCell ref="AO100:AR100"/>
    <mergeCell ref="BJ100:BK100"/>
    <mergeCell ref="B102:K102"/>
    <mergeCell ref="M102:V102"/>
    <mergeCell ref="X102:AG102"/>
    <mergeCell ref="AI102:AR102"/>
    <mergeCell ref="AT102:BC102"/>
    <mergeCell ref="BE102:BN102"/>
    <mergeCell ref="AW101:BC101"/>
    <mergeCell ref="BE101:BG101"/>
    <mergeCell ref="BH101:BN101"/>
    <mergeCell ref="BL100:BN100"/>
    <mergeCell ref="B100:G100"/>
    <mergeCell ref="H100:K100"/>
    <mergeCell ref="M100:R100"/>
    <mergeCell ref="S100:V100"/>
    <mergeCell ref="AI72:AN72"/>
    <mergeCell ref="AO72:AP72"/>
    <mergeCell ref="AQ72:AR72"/>
    <mergeCell ref="AO73:AP73"/>
    <mergeCell ref="AQ73:AR73"/>
    <mergeCell ref="BJ99:BK99"/>
    <mergeCell ref="BL99:BN99"/>
    <mergeCell ref="BA87:BC87"/>
    <mergeCell ref="BE87:BI87"/>
    <mergeCell ref="BJ87:BK87"/>
    <mergeCell ref="BL87:BN87"/>
    <mergeCell ref="BA86:BC86"/>
    <mergeCell ref="BJ86:BK86"/>
    <mergeCell ref="BL86:BN86"/>
    <mergeCell ref="AW75:BC75"/>
    <mergeCell ref="BE75:BG75"/>
    <mergeCell ref="BH75:BN75"/>
    <mergeCell ref="AO86:AR86"/>
    <mergeCell ref="AT86:AX86"/>
    <mergeCell ref="AY86:AZ86"/>
    <mergeCell ref="AY87:AZ87"/>
    <mergeCell ref="AI73:AN73"/>
    <mergeCell ref="BA98:BC98"/>
    <mergeCell ref="AT99:AX99"/>
    <mergeCell ref="AI115:AK115"/>
    <mergeCell ref="AL115:AR115"/>
    <mergeCell ref="AT115:AV115"/>
    <mergeCell ref="AW115:BC115"/>
    <mergeCell ref="BE115:BG115"/>
    <mergeCell ref="BH115:BN115"/>
    <mergeCell ref="B115:D115"/>
    <mergeCell ref="E115:K115"/>
    <mergeCell ref="M115:O115"/>
    <mergeCell ref="P115:V115"/>
    <mergeCell ref="X115:Z115"/>
    <mergeCell ref="AA115:AG115"/>
    <mergeCell ref="AZ127:BC127"/>
    <mergeCell ref="BE127:BJ127"/>
    <mergeCell ref="AI116:AR116"/>
    <mergeCell ref="AT116:BC116"/>
    <mergeCell ref="BE116:BN116"/>
    <mergeCell ref="AD124:AG124"/>
    <mergeCell ref="BK124:BN124"/>
    <mergeCell ref="G125:H125"/>
    <mergeCell ref="I125:K125"/>
    <mergeCell ref="S125:V125"/>
    <mergeCell ref="X125:AC125"/>
    <mergeCell ref="AD125:AG125"/>
    <mergeCell ref="AO125:AR125"/>
    <mergeCell ref="AZ125:BC125"/>
    <mergeCell ref="BE125:BJ125"/>
    <mergeCell ref="BK125:BN125"/>
    <mergeCell ref="BK127:BN127"/>
    <mergeCell ref="BK126:BN126"/>
    <mergeCell ref="AD126:AG126"/>
    <mergeCell ref="AI126:AN126"/>
    <mergeCell ref="AO126:AR126"/>
    <mergeCell ref="AT126:AY126"/>
    <mergeCell ref="AZ126:BC126"/>
    <mergeCell ref="BE126:BJ126"/>
    <mergeCell ref="B126:F126"/>
    <mergeCell ref="G126:H126"/>
    <mergeCell ref="I126:K126"/>
    <mergeCell ref="M126:R126"/>
    <mergeCell ref="S126:V126"/>
    <mergeCell ref="X126:AC126"/>
    <mergeCell ref="AT127:AY127"/>
    <mergeCell ref="B127:F127"/>
    <mergeCell ref="G127:H127"/>
    <mergeCell ref="I127:K127"/>
    <mergeCell ref="M127:R127"/>
    <mergeCell ref="S127:V127"/>
    <mergeCell ref="X127:AC127"/>
    <mergeCell ref="AD127:AG127"/>
    <mergeCell ref="AI127:AN127"/>
    <mergeCell ref="AO127:AR127"/>
  </mergeCells>
  <hyperlinks>
    <hyperlink ref="BE1:BN1" location="ОГЛАВЛЕНИЕ!R1C1" display="ОГЛАВЛЕНИЕ!R1C1" xr:uid="{87C4DD69-8F41-4BC5-92B1-4081EEEC1318}"/>
  </hyperlinks>
  <pageMargins left="0.7" right="0.7" top="0.75" bottom="0.75" header="0.3" footer="0.3"/>
  <pageSetup paperSize="9" scale="6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A850-08DA-453D-B58B-16CF2FB92D93}">
  <sheetPr>
    <tabColor theme="5" tint="0.59999389629810485"/>
    <pageSetUpPr fitToPage="1"/>
  </sheetPr>
  <dimension ref="A1:BS237"/>
  <sheetViews>
    <sheetView showGridLines="0" topLeftCell="A40" zoomScaleNormal="100" zoomScaleSheetLayoutView="120" workbookViewId="0">
      <selection activeCell="AZ72" sqref="AZ72:BC72"/>
    </sheetView>
  </sheetViews>
  <sheetFormatPr defaultColWidth="9.140625" defaultRowHeight="12" x14ac:dyDescent="0.25"/>
  <cols>
    <col min="1" max="1" width="1" style="15" customWidth="1"/>
    <col min="2" max="2" width="1.7109375" style="22" customWidth="1"/>
    <col min="3" max="10" width="1.7109375" style="15" customWidth="1"/>
    <col min="11" max="11" width="3.140625" style="15" customWidth="1"/>
    <col min="12" max="12" width="0.28515625" style="15" customWidth="1"/>
    <col min="13" max="18" width="1.7109375" style="15" customWidth="1"/>
    <col min="19" max="19" width="4" style="15" customWidth="1"/>
    <col min="20" max="21" width="1.7109375" style="15" customWidth="1"/>
    <col min="22" max="22" width="4.28515625" style="15" customWidth="1"/>
    <col min="23" max="23" width="0.28515625" style="15" customWidth="1"/>
    <col min="24" max="32" width="1.7109375" style="15" customWidth="1"/>
    <col min="33" max="33" width="3.140625" style="15" customWidth="1"/>
    <col min="34" max="34" width="0.28515625" style="15" customWidth="1"/>
    <col min="35" max="43" width="1.7109375" style="15" customWidth="1"/>
    <col min="44" max="44" width="4.140625" style="15" customWidth="1"/>
    <col min="45" max="45" width="0.28515625" style="15" customWidth="1"/>
    <col min="46" max="55" width="1.7109375" style="15" customWidth="1"/>
    <col min="56" max="56" width="0.28515625" style="15" customWidth="1"/>
    <col min="57" max="65" width="1.7109375" style="15" customWidth="1"/>
    <col min="66" max="66" width="5.7109375" style="15" customWidth="1"/>
    <col min="67" max="68" width="1.7109375" style="15" customWidth="1"/>
    <col min="69" max="16384" width="9.140625" style="15"/>
  </cols>
  <sheetData>
    <row r="1" spans="2:67" ht="90.95" customHeight="1" x14ac:dyDescent="0.25">
      <c r="B1" s="65"/>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404" t="s">
        <v>0</v>
      </c>
      <c r="BG1" s="404"/>
      <c r="BH1" s="404"/>
      <c r="BI1" s="404"/>
      <c r="BJ1" s="404"/>
      <c r="BK1" s="404"/>
      <c r="BL1" s="404"/>
      <c r="BM1" s="404"/>
      <c r="BN1" s="404"/>
    </row>
    <row r="2" spans="2:67" ht="29.25" customHeight="1" x14ac:dyDescent="0.25">
      <c r="B2" s="405" t="s">
        <v>729</v>
      </c>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9"/>
      <c r="BO2" s="63"/>
    </row>
    <row r="3" spans="2:67" ht="18" customHeight="1" x14ac:dyDescent="0.25">
      <c r="B3" s="439">
        <v>2</v>
      </c>
      <c r="C3" s="440"/>
      <c r="D3" s="440"/>
      <c r="E3" s="440"/>
      <c r="F3" s="440"/>
      <c r="G3" s="440"/>
      <c r="H3" s="440"/>
      <c r="I3" s="440"/>
      <c r="J3" s="440"/>
      <c r="K3" s="440"/>
      <c r="L3" s="7"/>
      <c r="M3" s="441" t="s">
        <v>271</v>
      </c>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2"/>
    </row>
    <row r="4" spans="2:67" ht="1.5" customHeight="1" x14ac:dyDescent="0.25">
      <c r="B4" s="67"/>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68"/>
    </row>
    <row r="5" spans="2:67" ht="15" x14ac:dyDescent="0.25">
      <c r="B5" s="406" t="s">
        <v>351</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8"/>
      <c r="BO5" s="64"/>
    </row>
    <row r="6" spans="2:67" s="18" customFormat="1" ht="9.9499999999999993" customHeight="1" x14ac:dyDescent="0.25">
      <c r="B6" s="443" t="s">
        <v>6</v>
      </c>
      <c r="C6" s="437"/>
      <c r="D6" s="438"/>
      <c r="E6" s="434" t="s">
        <v>5</v>
      </c>
      <c r="F6" s="413"/>
      <c r="G6" s="413"/>
      <c r="H6" s="413"/>
      <c r="I6" s="413"/>
      <c r="J6" s="413"/>
      <c r="K6" s="417"/>
      <c r="L6" s="17"/>
      <c r="M6" s="436" t="s">
        <v>7</v>
      </c>
      <c r="N6" s="437"/>
      <c r="O6" s="438"/>
      <c r="P6" s="434" t="s">
        <v>5</v>
      </c>
      <c r="Q6" s="413"/>
      <c r="R6" s="413"/>
      <c r="S6" s="413"/>
      <c r="T6" s="413"/>
      <c r="U6" s="413"/>
      <c r="V6" s="417"/>
      <c r="W6" s="17"/>
      <c r="X6" s="436" t="s">
        <v>8</v>
      </c>
      <c r="Y6" s="437"/>
      <c r="Z6" s="438"/>
      <c r="AA6" s="434" t="s">
        <v>5</v>
      </c>
      <c r="AB6" s="413"/>
      <c r="AC6" s="413"/>
      <c r="AD6" s="413"/>
      <c r="AE6" s="413"/>
      <c r="AF6" s="413"/>
      <c r="AG6" s="417"/>
      <c r="AH6" s="17"/>
      <c r="AI6" s="436" t="s">
        <v>9</v>
      </c>
      <c r="AJ6" s="437"/>
      <c r="AK6" s="438"/>
      <c r="AL6" s="434" t="s">
        <v>5</v>
      </c>
      <c r="AM6" s="413"/>
      <c r="AN6" s="413"/>
      <c r="AO6" s="413"/>
      <c r="AP6" s="413"/>
      <c r="AQ6" s="413"/>
      <c r="AR6" s="417"/>
      <c r="AS6" s="17"/>
      <c r="AT6" s="436" t="s">
        <v>7</v>
      </c>
      <c r="AU6" s="437"/>
      <c r="AV6" s="438"/>
      <c r="AW6" s="434" t="s">
        <v>5</v>
      </c>
      <c r="AX6" s="413"/>
      <c r="AY6" s="413"/>
      <c r="AZ6" s="413"/>
      <c r="BA6" s="413"/>
      <c r="BB6" s="413"/>
      <c r="BC6" s="417"/>
      <c r="BD6" s="17"/>
      <c r="BE6" s="435" t="s">
        <v>9</v>
      </c>
      <c r="BF6" s="435"/>
      <c r="BG6" s="435"/>
      <c r="BH6" s="435"/>
      <c r="BI6" s="434" t="s">
        <v>5</v>
      </c>
      <c r="BJ6" s="413"/>
      <c r="BK6" s="413"/>
      <c r="BL6" s="413"/>
      <c r="BM6" s="413"/>
      <c r="BN6" s="414"/>
    </row>
    <row r="7" spans="2:67" s="18" customFormat="1" ht="9.9499999999999993" customHeight="1" x14ac:dyDescent="0.25">
      <c r="B7" s="429" t="s">
        <v>10</v>
      </c>
      <c r="C7" s="424"/>
      <c r="D7" s="425"/>
      <c r="E7" s="16"/>
      <c r="F7" s="17"/>
      <c r="G7" s="17"/>
      <c r="H7" s="17"/>
      <c r="I7" s="17"/>
      <c r="J7" s="17"/>
      <c r="K7" s="14"/>
      <c r="L7" s="17"/>
      <c r="M7" s="423" t="s">
        <v>11</v>
      </c>
      <c r="N7" s="424"/>
      <c r="O7" s="425"/>
      <c r="P7" s="434" t="s">
        <v>12</v>
      </c>
      <c r="Q7" s="413"/>
      <c r="R7" s="413"/>
      <c r="S7" s="413"/>
      <c r="T7" s="413"/>
      <c r="U7" s="413"/>
      <c r="V7" s="417"/>
      <c r="W7" s="17"/>
      <c r="X7" s="423" t="s">
        <v>13</v>
      </c>
      <c r="Y7" s="424"/>
      <c r="Z7" s="425"/>
      <c r="AA7" s="434" t="s">
        <v>14</v>
      </c>
      <c r="AB7" s="413"/>
      <c r="AC7" s="413"/>
      <c r="AD7" s="413"/>
      <c r="AE7" s="413"/>
      <c r="AF7" s="413"/>
      <c r="AG7" s="417"/>
      <c r="AH7" s="17"/>
      <c r="AI7" s="423" t="s">
        <v>15</v>
      </c>
      <c r="AJ7" s="424"/>
      <c r="AK7" s="425"/>
      <c r="AL7" s="434" t="s">
        <v>16</v>
      </c>
      <c r="AM7" s="413"/>
      <c r="AN7" s="413"/>
      <c r="AO7" s="413"/>
      <c r="AP7" s="413"/>
      <c r="AQ7" s="413"/>
      <c r="AR7" s="417"/>
      <c r="AS7" s="17"/>
      <c r="AT7" s="423" t="s">
        <v>11</v>
      </c>
      <c r="AU7" s="424"/>
      <c r="AV7" s="425"/>
      <c r="AW7" s="434" t="s">
        <v>17</v>
      </c>
      <c r="AX7" s="413"/>
      <c r="AY7" s="413"/>
      <c r="AZ7" s="413"/>
      <c r="BA7" s="413"/>
      <c r="BB7" s="413"/>
      <c r="BC7" s="417"/>
      <c r="BD7" s="17"/>
      <c r="BE7" s="444" t="s">
        <v>15</v>
      </c>
      <c r="BF7" s="444"/>
      <c r="BG7" s="444"/>
      <c r="BH7" s="445"/>
      <c r="BI7" s="434" t="s">
        <v>17</v>
      </c>
      <c r="BJ7" s="413"/>
      <c r="BK7" s="413"/>
      <c r="BL7" s="413"/>
      <c r="BM7" s="413"/>
      <c r="BN7" s="414"/>
    </row>
    <row r="8" spans="2:67" s="18" customFormat="1" ht="9.9499999999999993" customHeight="1" x14ac:dyDescent="0.25">
      <c r="B8" s="70"/>
      <c r="C8" s="17"/>
      <c r="D8" s="17"/>
      <c r="E8" s="17"/>
      <c r="F8" s="17"/>
      <c r="G8" s="17"/>
      <c r="H8" s="17"/>
      <c r="I8" s="17"/>
      <c r="J8" s="17"/>
      <c r="K8" s="14"/>
      <c r="L8" s="17"/>
      <c r="M8" s="12"/>
      <c r="N8" s="17"/>
      <c r="O8" s="17"/>
      <c r="P8" s="17"/>
      <c r="Q8" s="17"/>
      <c r="R8" s="17"/>
      <c r="S8" s="17"/>
      <c r="T8" s="17"/>
      <c r="U8" s="17"/>
      <c r="V8" s="14"/>
      <c r="W8" s="17"/>
      <c r="X8" s="12"/>
      <c r="Y8" s="17"/>
      <c r="Z8" s="17"/>
      <c r="AA8" s="17"/>
      <c r="AB8" s="17"/>
      <c r="AC8" s="17"/>
      <c r="AD8" s="17"/>
      <c r="AE8" s="17"/>
      <c r="AF8" s="17"/>
      <c r="AG8" s="14"/>
      <c r="AH8" s="17"/>
      <c r="AI8" s="12"/>
      <c r="AJ8" s="17"/>
      <c r="AK8" s="17"/>
      <c r="AL8" s="17"/>
      <c r="AM8" s="17"/>
      <c r="AN8" s="17"/>
      <c r="AO8" s="17"/>
      <c r="AP8" s="17"/>
      <c r="AQ8" s="17"/>
      <c r="AR8" s="14"/>
      <c r="AS8" s="17"/>
      <c r="AT8" s="421" t="s">
        <v>18</v>
      </c>
      <c r="AU8" s="413"/>
      <c r="AV8" s="413"/>
      <c r="AW8" s="413"/>
      <c r="AX8" s="413"/>
      <c r="AY8" s="413"/>
      <c r="AZ8" s="413"/>
      <c r="BA8" s="413"/>
      <c r="BB8" s="413"/>
      <c r="BC8" s="417"/>
      <c r="BD8" s="17"/>
      <c r="BE8" s="434" t="s">
        <v>16</v>
      </c>
      <c r="BF8" s="413"/>
      <c r="BG8" s="413"/>
      <c r="BH8" s="413"/>
      <c r="BI8" s="413"/>
      <c r="BJ8" s="413"/>
      <c r="BK8" s="413"/>
      <c r="BL8" s="413"/>
      <c r="BM8" s="413"/>
      <c r="BN8" s="414"/>
    </row>
    <row r="9" spans="2:67" s="18" customFormat="1" ht="9.9499999999999993" customHeight="1" x14ac:dyDescent="0.25">
      <c r="B9" s="70"/>
      <c r="C9" s="17"/>
      <c r="D9" s="17"/>
      <c r="E9" s="17"/>
      <c r="F9" s="17"/>
      <c r="G9" s="17"/>
      <c r="H9" s="17"/>
      <c r="I9" s="17"/>
      <c r="J9" s="17"/>
      <c r="K9" s="14"/>
      <c r="L9" s="17"/>
      <c r="M9" s="12"/>
      <c r="N9" s="17"/>
      <c r="O9" s="17"/>
      <c r="P9" s="17"/>
      <c r="Q9" s="17"/>
      <c r="R9" s="17"/>
      <c r="S9" s="17"/>
      <c r="T9" s="17"/>
      <c r="U9" s="17"/>
      <c r="V9" s="14"/>
      <c r="W9" s="17"/>
      <c r="X9" s="12"/>
      <c r="Y9" s="17"/>
      <c r="Z9" s="17"/>
      <c r="AA9" s="17"/>
      <c r="AB9" s="17"/>
      <c r="AC9" s="17"/>
      <c r="AD9" s="17"/>
      <c r="AE9" s="17"/>
      <c r="AF9" s="17"/>
      <c r="AG9" s="14"/>
      <c r="AH9" s="17"/>
      <c r="AI9" s="12"/>
      <c r="AJ9" s="17"/>
      <c r="AK9" s="17"/>
      <c r="AL9" s="17"/>
      <c r="AM9" s="17"/>
      <c r="AN9" s="17"/>
      <c r="AO9" s="17"/>
      <c r="AP9" s="17"/>
      <c r="AQ9" s="17"/>
      <c r="AR9" s="14"/>
      <c r="AS9" s="17"/>
      <c r="AT9" s="12"/>
      <c r="AU9" s="17"/>
      <c r="AV9" s="17"/>
      <c r="AW9" s="17"/>
      <c r="AX9" s="17"/>
      <c r="AY9" s="17"/>
      <c r="AZ9" s="17"/>
      <c r="BA9" s="17"/>
      <c r="BB9" s="17"/>
      <c r="BC9" s="14"/>
      <c r="BD9" s="17"/>
      <c r="BE9" s="12"/>
      <c r="BF9" s="17"/>
      <c r="BG9" s="17"/>
      <c r="BH9" s="17"/>
      <c r="BI9" s="17"/>
      <c r="BJ9" s="17"/>
      <c r="BK9" s="17"/>
      <c r="BL9" s="17"/>
      <c r="BM9" s="17"/>
      <c r="BN9" s="69"/>
    </row>
    <row r="10" spans="2:67" s="18" customFormat="1" ht="9.9499999999999993" customHeight="1" x14ac:dyDescent="0.25">
      <c r="B10" s="70"/>
      <c r="C10" s="17"/>
      <c r="D10" s="17"/>
      <c r="E10" s="17"/>
      <c r="F10" s="17"/>
      <c r="G10" s="17"/>
      <c r="H10" s="17"/>
      <c r="I10" s="17"/>
      <c r="J10" s="17"/>
      <c r="K10" s="14"/>
      <c r="L10" s="17"/>
      <c r="M10" s="12"/>
      <c r="N10" s="17"/>
      <c r="O10" s="17"/>
      <c r="P10" s="17"/>
      <c r="Q10" s="17"/>
      <c r="R10" s="17"/>
      <c r="S10" s="17"/>
      <c r="T10" s="17"/>
      <c r="U10" s="17"/>
      <c r="V10" s="14"/>
      <c r="W10" s="17"/>
      <c r="X10" s="12"/>
      <c r="Y10" s="17"/>
      <c r="Z10" s="17"/>
      <c r="AA10" s="17"/>
      <c r="AB10" s="17"/>
      <c r="AC10" s="17"/>
      <c r="AD10" s="17"/>
      <c r="AE10" s="17"/>
      <c r="AF10" s="17"/>
      <c r="AG10" s="14"/>
      <c r="AH10" s="17"/>
      <c r="AI10" s="12"/>
      <c r="AJ10" s="17"/>
      <c r="AK10" s="17"/>
      <c r="AL10" s="17"/>
      <c r="AM10" s="17"/>
      <c r="AN10" s="17"/>
      <c r="AO10" s="17"/>
      <c r="AP10" s="17"/>
      <c r="AQ10" s="17"/>
      <c r="AR10" s="14"/>
      <c r="AS10" s="17"/>
      <c r="AT10" s="12"/>
      <c r="AU10" s="17"/>
      <c r="AV10" s="17"/>
      <c r="AW10" s="17"/>
      <c r="AX10" s="17"/>
      <c r="AY10" s="17"/>
      <c r="AZ10" s="17"/>
      <c r="BA10" s="17"/>
      <c r="BB10" s="17"/>
      <c r="BC10" s="14"/>
      <c r="BD10" s="17"/>
      <c r="BE10" s="12"/>
      <c r="BF10" s="17"/>
      <c r="BG10" s="17"/>
      <c r="BH10" s="17"/>
      <c r="BI10" s="17"/>
      <c r="BJ10" s="17"/>
      <c r="BK10" s="17"/>
      <c r="BL10" s="17"/>
      <c r="BM10" s="17"/>
      <c r="BN10" s="69"/>
    </row>
    <row r="11" spans="2:67" s="18" customFormat="1" ht="9.9499999999999993" customHeight="1" x14ac:dyDescent="0.25">
      <c r="B11" s="70"/>
      <c r="C11" s="17"/>
      <c r="D11" s="17"/>
      <c r="E11" s="17"/>
      <c r="F11" s="17"/>
      <c r="G11" s="17"/>
      <c r="H11" s="17"/>
      <c r="I11" s="17"/>
      <c r="J11" s="17"/>
      <c r="K11" s="14"/>
      <c r="L11" s="17"/>
      <c r="M11" s="12"/>
      <c r="N11" s="17"/>
      <c r="O11" s="17"/>
      <c r="P11" s="17"/>
      <c r="Q11" s="17"/>
      <c r="R11" s="17"/>
      <c r="S11" s="17"/>
      <c r="T11" s="17"/>
      <c r="U11" s="17"/>
      <c r="V11" s="14"/>
      <c r="W11" s="17"/>
      <c r="X11" s="12"/>
      <c r="Y11" s="17"/>
      <c r="Z11" s="17"/>
      <c r="AA11" s="17"/>
      <c r="AB11" s="17"/>
      <c r="AC11" s="17"/>
      <c r="AD11" s="17"/>
      <c r="AE11" s="17"/>
      <c r="AF11" s="17"/>
      <c r="AG11" s="14"/>
      <c r="AH11" s="17"/>
      <c r="AI11" s="12"/>
      <c r="AJ11" s="17"/>
      <c r="AK11" s="17"/>
      <c r="AL11" s="17"/>
      <c r="AM11" s="17"/>
      <c r="AN11" s="17"/>
      <c r="AO11" s="17"/>
      <c r="AP11" s="17"/>
      <c r="AQ11" s="17"/>
      <c r="AR11" s="14"/>
      <c r="AS11" s="17"/>
      <c r="AT11" s="12"/>
      <c r="AU11" s="17"/>
      <c r="AV11" s="17"/>
      <c r="AW11" s="17"/>
      <c r="AX11" s="17"/>
      <c r="AY11" s="17"/>
      <c r="AZ11" s="17"/>
      <c r="BA11" s="17"/>
      <c r="BB11" s="17"/>
      <c r="BC11" s="14"/>
      <c r="BD11" s="17"/>
      <c r="BE11" s="12"/>
      <c r="BF11" s="17"/>
      <c r="BG11" s="17"/>
      <c r="BH11" s="17"/>
      <c r="BI11" s="17"/>
      <c r="BJ11" s="17"/>
      <c r="BK11" s="17"/>
      <c r="BL11" s="17"/>
      <c r="BM11" s="17"/>
      <c r="BN11" s="69"/>
    </row>
    <row r="12" spans="2:67" s="18" customFormat="1" ht="9.9499999999999993" customHeight="1" x14ac:dyDescent="0.25">
      <c r="B12" s="70"/>
      <c r="C12" s="17"/>
      <c r="D12" s="17"/>
      <c r="E12" s="17"/>
      <c r="F12" s="17"/>
      <c r="G12" s="17"/>
      <c r="H12" s="17"/>
      <c r="I12" s="17"/>
      <c r="J12" s="17"/>
      <c r="K12" s="14"/>
      <c r="L12" s="17"/>
      <c r="M12" s="12"/>
      <c r="N12" s="17"/>
      <c r="O12" s="17"/>
      <c r="P12" s="17"/>
      <c r="Q12" s="17"/>
      <c r="R12" s="17"/>
      <c r="S12" s="17"/>
      <c r="T12" s="17"/>
      <c r="U12" s="17"/>
      <c r="V12" s="14"/>
      <c r="W12" s="17"/>
      <c r="X12" s="12"/>
      <c r="Y12" s="17"/>
      <c r="Z12" s="17"/>
      <c r="AA12" s="17"/>
      <c r="AB12" s="17"/>
      <c r="AC12" s="17"/>
      <c r="AD12" s="17"/>
      <c r="AE12" s="17"/>
      <c r="AF12" s="17"/>
      <c r="AG12" s="14"/>
      <c r="AH12" s="17"/>
      <c r="AI12" s="12"/>
      <c r="AJ12" s="17"/>
      <c r="AK12" s="17"/>
      <c r="AL12" s="17"/>
      <c r="AM12" s="17"/>
      <c r="AN12" s="17"/>
      <c r="AO12" s="17"/>
      <c r="AP12" s="17"/>
      <c r="AQ12" s="17"/>
      <c r="AR12" s="14"/>
      <c r="AS12" s="17"/>
      <c r="AT12" s="12"/>
      <c r="AU12" s="17"/>
      <c r="AV12" s="17"/>
      <c r="AW12" s="17"/>
      <c r="AX12" s="17"/>
      <c r="AY12" s="17"/>
      <c r="AZ12" s="17"/>
      <c r="BA12" s="17"/>
      <c r="BB12" s="17"/>
      <c r="BC12" s="14"/>
      <c r="BD12" s="17"/>
      <c r="BE12" s="12"/>
      <c r="BF12" s="17"/>
      <c r="BG12" s="17"/>
      <c r="BH12" s="17"/>
      <c r="BI12" s="17"/>
      <c r="BJ12" s="17"/>
      <c r="BK12" s="17"/>
      <c r="BL12" s="17"/>
      <c r="BM12" s="17"/>
      <c r="BN12" s="69"/>
    </row>
    <row r="13" spans="2:67" s="18" customFormat="1" ht="9.9499999999999993" customHeight="1" x14ac:dyDescent="0.25">
      <c r="B13" s="70"/>
      <c r="C13" s="17"/>
      <c r="D13" s="17"/>
      <c r="E13" s="17"/>
      <c r="F13" s="17"/>
      <c r="G13" s="17"/>
      <c r="H13" s="17"/>
      <c r="I13" s="17"/>
      <c r="J13" s="17"/>
      <c r="K13" s="14"/>
      <c r="L13" s="17"/>
      <c r="M13" s="12"/>
      <c r="N13" s="17"/>
      <c r="O13" s="17"/>
      <c r="P13" s="17"/>
      <c r="Q13" s="17"/>
      <c r="R13" s="17"/>
      <c r="S13" s="17"/>
      <c r="T13" s="17"/>
      <c r="U13" s="17"/>
      <c r="V13" s="14"/>
      <c r="W13" s="17"/>
      <c r="X13" s="12"/>
      <c r="Y13" s="17"/>
      <c r="Z13" s="17"/>
      <c r="AA13" s="17"/>
      <c r="AB13" s="17"/>
      <c r="AC13" s="17"/>
      <c r="AD13" s="17"/>
      <c r="AE13" s="17"/>
      <c r="AF13" s="17"/>
      <c r="AG13" s="14"/>
      <c r="AH13" s="17"/>
      <c r="AI13" s="12"/>
      <c r="AJ13" s="17"/>
      <c r="AK13" s="17"/>
      <c r="AL13" s="17"/>
      <c r="AM13" s="17"/>
      <c r="AN13" s="17"/>
      <c r="AO13" s="17"/>
      <c r="AP13" s="17"/>
      <c r="AQ13" s="17"/>
      <c r="AR13" s="14"/>
      <c r="AS13" s="17"/>
      <c r="AT13" s="12"/>
      <c r="AU13" s="17"/>
      <c r="AV13" s="17"/>
      <c r="AW13" s="17"/>
      <c r="AX13" s="17"/>
      <c r="AY13" s="17"/>
      <c r="AZ13" s="17"/>
      <c r="BA13" s="17"/>
      <c r="BB13" s="17"/>
      <c r="BC13" s="14"/>
      <c r="BD13" s="17"/>
      <c r="BE13" s="12"/>
      <c r="BF13" s="17"/>
      <c r="BG13" s="17"/>
      <c r="BH13" s="17"/>
      <c r="BI13" s="17"/>
      <c r="BJ13" s="17"/>
      <c r="BK13" s="17"/>
      <c r="BL13" s="17"/>
      <c r="BM13" s="17"/>
      <c r="BN13" s="69"/>
    </row>
    <row r="14" spans="2:67" s="18" customFormat="1" ht="9.9499999999999993" customHeight="1" x14ac:dyDescent="0.25">
      <c r="B14" s="70"/>
      <c r="C14" s="17"/>
      <c r="D14" s="17"/>
      <c r="E14" s="17"/>
      <c r="F14" s="17"/>
      <c r="G14" s="17"/>
      <c r="H14" s="17"/>
      <c r="I14" s="17"/>
      <c r="J14" s="17"/>
      <c r="K14" s="14"/>
      <c r="L14" s="17"/>
      <c r="M14" s="12"/>
      <c r="N14" s="17"/>
      <c r="O14" s="17"/>
      <c r="P14" s="17"/>
      <c r="Q14" s="17"/>
      <c r="R14" s="17"/>
      <c r="S14" s="17"/>
      <c r="T14" s="17"/>
      <c r="U14" s="17"/>
      <c r="V14" s="14"/>
      <c r="W14" s="17"/>
      <c r="X14" s="12"/>
      <c r="Y14" s="17"/>
      <c r="Z14" s="17"/>
      <c r="AA14" s="17"/>
      <c r="AB14" s="17"/>
      <c r="AC14" s="17"/>
      <c r="AD14" s="17"/>
      <c r="AE14" s="17"/>
      <c r="AF14" s="17"/>
      <c r="AG14" s="14"/>
      <c r="AH14" s="17"/>
      <c r="AI14" s="12"/>
      <c r="AJ14" s="17"/>
      <c r="AK14" s="17"/>
      <c r="AL14" s="17"/>
      <c r="AM14" s="17"/>
      <c r="AN14" s="17"/>
      <c r="AO14" s="17"/>
      <c r="AP14" s="17"/>
      <c r="AQ14" s="17"/>
      <c r="AR14" s="14"/>
      <c r="AS14" s="17"/>
      <c r="AT14" s="12"/>
      <c r="AU14" s="17"/>
      <c r="AV14" s="17"/>
      <c r="AW14" s="17"/>
      <c r="AX14" s="17"/>
      <c r="AY14" s="17"/>
      <c r="AZ14" s="17"/>
      <c r="BA14" s="17"/>
      <c r="BB14" s="17"/>
      <c r="BC14" s="14"/>
      <c r="BD14" s="17"/>
      <c r="BE14" s="12"/>
      <c r="BF14" s="17"/>
      <c r="BG14" s="17"/>
      <c r="BH14" s="17"/>
      <c r="BI14" s="17"/>
      <c r="BJ14" s="17"/>
      <c r="BK14" s="17"/>
      <c r="BL14" s="17"/>
      <c r="BM14" s="17"/>
      <c r="BN14" s="69"/>
    </row>
    <row r="15" spans="2:67" s="18" customFormat="1" ht="18" customHeight="1" x14ac:dyDescent="0.25">
      <c r="B15" s="70"/>
      <c r="C15" s="17"/>
      <c r="D15" s="17"/>
      <c r="E15" s="17"/>
      <c r="F15" s="17"/>
      <c r="G15" s="17"/>
      <c r="H15" s="17"/>
      <c r="I15" s="17"/>
      <c r="J15" s="17"/>
      <c r="K15" s="14"/>
      <c r="L15" s="17"/>
      <c r="M15" s="12"/>
      <c r="N15" s="17"/>
      <c r="O15" s="17"/>
      <c r="P15" s="17"/>
      <c r="Q15" s="17"/>
      <c r="R15" s="17"/>
      <c r="S15" s="17"/>
      <c r="T15" s="17"/>
      <c r="U15" s="17"/>
      <c r="V15" s="14"/>
      <c r="W15" s="17"/>
      <c r="X15" s="12"/>
      <c r="Y15" s="17"/>
      <c r="Z15" s="17"/>
      <c r="AA15" s="17"/>
      <c r="AB15" s="17"/>
      <c r="AC15" s="17"/>
      <c r="AD15" s="17"/>
      <c r="AE15" s="17"/>
      <c r="AF15" s="17"/>
      <c r="AG15" s="14"/>
      <c r="AH15" s="17"/>
      <c r="AI15" s="12"/>
      <c r="AJ15" s="17"/>
      <c r="AK15" s="17"/>
      <c r="AL15" s="17"/>
      <c r="AM15" s="17"/>
      <c r="AN15" s="17"/>
      <c r="AO15" s="17"/>
      <c r="AP15" s="17"/>
      <c r="AQ15" s="17"/>
      <c r="AR15" s="14"/>
      <c r="AS15" s="17"/>
      <c r="AT15" s="12"/>
      <c r="AU15" s="17"/>
      <c r="AV15" s="17"/>
      <c r="AW15" s="17"/>
      <c r="AX15" s="17"/>
      <c r="AY15" s="17"/>
      <c r="AZ15" s="17"/>
      <c r="BA15" s="17"/>
      <c r="BB15" s="17"/>
      <c r="BC15" s="14"/>
      <c r="BD15" s="17"/>
      <c r="BE15" s="12"/>
      <c r="BF15" s="17"/>
      <c r="BG15" s="17"/>
      <c r="BH15" s="17"/>
      <c r="BI15" s="17"/>
      <c r="BJ15" s="17"/>
      <c r="BK15" s="17"/>
      <c r="BL15" s="17"/>
      <c r="BM15" s="17"/>
      <c r="BN15" s="69"/>
    </row>
    <row r="16" spans="2:67" s="18" customFormat="1" ht="9.9499999999999993" customHeight="1" x14ac:dyDescent="0.25">
      <c r="B16" s="416" t="s">
        <v>19</v>
      </c>
      <c r="C16" s="413"/>
      <c r="D16" s="413"/>
      <c r="E16" s="413"/>
      <c r="F16" s="413"/>
      <c r="G16" s="413"/>
      <c r="H16" s="413"/>
      <c r="I16" s="413"/>
      <c r="J16" s="413"/>
      <c r="K16" s="417"/>
      <c r="L16" s="17"/>
      <c r="M16" s="421" t="s">
        <v>19</v>
      </c>
      <c r="N16" s="413"/>
      <c r="O16" s="413"/>
      <c r="P16" s="413"/>
      <c r="Q16" s="413"/>
      <c r="R16" s="413"/>
      <c r="S16" s="413"/>
      <c r="T16" s="413"/>
      <c r="U16" s="413"/>
      <c r="V16" s="417"/>
      <c r="W16" s="17"/>
      <c r="X16" s="421" t="s">
        <v>20</v>
      </c>
      <c r="Y16" s="413"/>
      <c r="Z16" s="413"/>
      <c r="AA16" s="413"/>
      <c r="AB16" s="413"/>
      <c r="AC16" s="413"/>
      <c r="AD16" s="413"/>
      <c r="AE16" s="413"/>
      <c r="AF16" s="413"/>
      <c r="AG16" s="417"/>
      <c r="AH16" s="17"/>
      <c r="AI16" s="421" t="s">
        <v>20</v>
      </c>
      <c r="AJ16" s="413"/>
      <c r="AK16" s="413"/>
      <c r="AL16" s="413"/>
      <c r="AM16" s="413"/>
      <c r="AN16" s="413"/>
      <c r="AO16" s="413"/>
      <c r="AP16" s="413"/>
      <c r="AQ16" s="413"/>
      <c r="AR16" s="417"/>
      <c r="AS16" s="17"/>
      <c r="AT16" s="421" t="s">
        <v>19</v>
      </c>
      <c r="AU16" s="413"/>
      <c r="AV16" s="413"/>
      <c r="AW16" s="413"/>
      <c r="AX16" s="413"/>
      <c r="AY16" s="413"/>
      <c r="AZ16" s="413"/>
      <c r="BA16" s="413"/>
      <c r="BB16" s="413"/>
      <c r="BC16" s="417"/>
      <c r="BD16" s="17"/>
      <c r="BE16" s="421" t="s">
        <v>20</v>
      </c>
      <c r="BF16" s="413"/>
      <c r="BG16" s="413"/>
      <c r="BH16" s="413"/>
      <c r="BI16" s="413"/>
      <c r="BJ16" s="413"/>
      <c r="BK16" s="413"/>
      <c r="BL16" s="413"/>
      <c r="BM16" s="413"/>
      <c r="BN16" s="414"/>
    </row>
    <row r="17" spans="2:66" s="18" customFormat="1" ht="9.9499999999999993" customHeight="1" x14ac:dyDescent="0.25">
      <c r="B17" s="409" t="s">
        <v>21</v>
      </c>
      <c r="C17" s="409"/>
      <c r="D17" s="409"/>
      <c r="E17" s="409"/>
      <c r="F17" s="409"/>
      <c r="G17" s="409"/>
      <c r="H17" s="409">
        <f>CEILING(1443*B3,1)</f>
        <v>2886</v>
      </c>
      <c r="I17" s="409"/>
      <c r="J17" s="409"/>
      <c r="K17" s="409"/>
      <c r="L17" s="19"/>
      <c r="M17" s="409" t="s">
        <v>21</v>
      </c>
      <c r="N17" s="409"/>
      <c r="O17" s="409"/>
      <c r="P17" s="409"/>
      <c r="Q17" s="409"/>
      <c r="R17" s="409"/>
      <c r="S17" s="409">
        <f>CEILING(2210*B3,1)</f>
        <v>4420</v>
      </c>
      <c r="T17" s="409"/>
      <c r="U17" s="409"/>
      <c r="V17" s="409"/>
      <c r="W17" s="19"/>
      <c r="X17" s="409" t="s">
        <v>21</v>
      </c>
      <c r="Y17" s="409"/>
      <c r="Z17" s="409"/>
      <c r="AA17" s="409"/>
      <c r="AB17" s="409"/>
      <c r="AC17" s="409"/>
      <c r="AD17" s="409">
        <f>CEILING(1528*B3,1)</f>
        <v>3056</v>
      </c>
      <c r="AE17" s="409"/>
      <c r="AF17" s="409"/>
      <c r="AG17" s="409"/>
      <c r="AH17" s="19"/>
      <c r="AI17" s="409" t="s">
        <v>21</v>
      </c>
      <c r="AJ17" s="409"/>
      <c r="AK17" s="409"/>
      <c r="AL17" s="409"/>
      <c r="AM17" s="409"/>
      <c r="AN17" s="409"/>
      <c r="AO17" s="409">
        <f>CEILING(2295*B3,1)</f>
        <v>4590</v>
      </c>
      <c r="AP17" s="409"/>
      <c r="AQ17" s="409"/>
      <c r="AR17" s="409"/>
      <c r="AS17" s="19"/>
      <c r="AT17" s="409" t="s">
        <v>21</v>
      </c>
      <c r="AU17" s="409"/>
      <c r="AV17" s="409"/>
      <c r="AW17" s="409"/>
      <c r="AX17" s="409"/>
      <c r="AY17" s="409"/>
      <c r="AZ17" s="409">
        <f>CEILING(2441*B3,1)</f>
        <v>4882</v>
      </c>
      <c r="BA17" s="409"/>
      <c r="BB17" s="409"/>
      <c r="BC17" s="409"/>
      <c r="BD17" s="19"/>
      <c r="BE17" s="409" t="s">
        <v>21</v>
      </c>
      <c r="BF17" s="409"/>
      <c r="BG17" s="409"/>
      <c r="BH17" s="409"/>
      <c r="BI17" s="409"/>
      <c r="BJ17" s="409"/>
      <c r="BK17" s="409">
        <f>CEILING(2532*B3,1)</f>
        <v>5064</v>
      </c>
      <c r="BL17" s="409"/>
      <c r="BM17" s="409"/>
      <c r="BN17" s="409"/>
    </row>
    <row r="18" spans="2:66" s="18" customFormat="1" ht="9.9499999999999993" customHeight="1" x14ac:dyDescent="0.25">
      <c r="B18" s="409" t="s">
        <v>22</v>
      </c>
      <c r="C18" s="409"/>
      <c r="D18" s="409"/>
      <c r="E18" s="409"/>
      <c r="F18" s="409"/>
      <c r="G18" s="409"/>
      <c r="H18" s="409">
        <f>CEILING(1938*B3,1)</f>
        <v>3876</v>
      </c>
      <c r="I18" s="409"/>
      <c r="J18" s="409"/>
      <c r="K18" s="409"/>
      <c r="L18" s="19"/>
      <c r="M18" s="409" t="s">
        <v>22</v>
      </c>
      <c r="N18" s="409"/>
      <c r="O18" s="409"/>
      <c r="P18" s="409"/>
      <c r="Q18" s="409"/>
      <c r="R18" s="409"/>
      <c r="S18" s="409">
        <f>CEILING(2709*B3,1)</f>
        <v>5418</v>
      </c>
      <c r="T18" s="409"/>
      <c r="U18" s="409"/>
      <c r="V18" s="409"/>
      <c r="W18" s="19"/>
      <c r="X18" s="409" t="s">
        <v>22</v>
      </c>
      <c r="Y18" s="409"/>
      <c r="Z18" s="409"/>
      <c r="AA18" s="409"/>
      <c r="AB18" s="409"/>
      <c r="AC18" s="409"/>
      <c r="AD18" s="409">
        <f>CEILING(2052*B3,1)</f>
        <v>4104</v>
      </c>
      <c r="AE18" s="409"/>
      <c r="AF18" s="409"/>
      <c r="AG18" s="409"/>
      <c r="AH18" s="19"/>
      <c r="AI18" s="409" t="s">
        <v>22</v>
      </c>
      <c r="AJ18" s="409"/>
      <c r="AK18" s="409"/>
      <c r="AL18" s="409"/>
      <c r="AM18" s="409"/>
      <c r="AN18" s="409"/>
      <c r="AO18" s="409">
        <f>CEILING(2822*B3,1)</f>
        <v>5644</v>
      </c>
      <c r="AP18" s="409"/>
      <c r="AQ18" s="409"/>
      <c r="AR18" s="409"/>
      <c r="AS18" s="19"/>
      <c r="AT18" s="409" t="s">
        <v>22</v>
      </c>
      <c r="AU18" s="409"/>
      <c r="AV18" s="409"/>
      <c r="AW18" s="409"/>
      <c r="AX18" s="409"/>
      <c r="AY18" s="409"/>
      <c r="AZ18" s="409">
        <f>CEILING(2962*B3,1)</f>
        <v>5924</v>
      </c>
      <c r="BA18" s="409"/>
      <c r="BB18" s="409"/>
      <c r="BC18" s="409"/>
      <c r="BD18" s="19"/>
      <c r="BE18" s="409" t="s">
        <v>22</v>
      </c>
      <c r="BF18" s="409"/>
      <c r="BG18" s="409"/>
      <c r="BH18" s="409"/>
      <c r="BI18" s="409"/>
      <c r="BJ18" s="409"/>
      <c r="BK18" s="409">
        <f>CEILING(3099*B3,1)</f>
        <v>6198</v>
      </c>
      <c r="BL18" s="409"/>
      <c r="BM18" s="409"/>
      <c r="BN18" s="409"/>
    </row>
    <row r="19" spans="2:66" s="18" customFormat="1" ht="0.2" customHeight="1" x14ac:dyDescent="0.25">
      <c r="B19" s="70"/>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69"/>
    </row>
    <row r="20" spans="2:66" s="18" customFormat="1" ht="9.9499999999999993" customHeight="1" x14ac:dyDescent="0.25">
      <c r="B20" s="429" t="s">
        <v>23</v>
      </c>
      <c r="C20" s="424"/>
      <c r="D20" s="425"/>
      <c r="E20" s="426" t="s">
        <v>24</v>
      </c>
      <c r="F20" s="427"/>
      <c r="G20" s="427"/>
      <c r="H20" s="427"/>
      <c r="I20" s="427"/>
      <c r="J20" s="427"/>
      <c r="K20" s="428"/>
      <c r="L20" s="17"/>
      <c r="M20" s="423" t="s">
        <v>25</v>
      </c>
      <c r="N20" s="424"/>
      <c r="O20" s="425"/>
      <c r="P20" s="426" t="s">
        <v>24</v>
      </c>
      <c r="Q20" s="427"/>
      <c r="R20" s="427"/>
      <c r="S20" s="427"/>
      <c r="T20" s="427"/>
      <c r="U20" s="427"/>
      <c r="V20" s="428"/>
      <c r="W20" s="17"/>
      <c r="X20" s="423" t="s">
        <v>26</v>
      </c>
      <c r="Y20" s="424"/>
      <c r="Z20" s="425"/>
      <c r="AA20" s="426" t="s">
        <v>24</v>
      </c>
      <c r="AB20" s="427"/>
      <c r="AC20" s="427"/>
      <c r="AD20" s="427"/>
      <c r="AE20" s="427"/>
      <c r="AF20" s="427"/>
      <c r="AG20" s="428"/>
      <c r="AH20" s="17"/>
      <c r="AI20" s="423" t="s">
        <v>27</v>
      </c>
      <c r="AJ20" s="424"/>
      <c r="AK20" s="425"/>
      <c r="AL20" s="426" t="s">
        <v>24</v>
      </c>
      <c r="AM20" s="427"/>
      <c r="AN20" s="427"/>
      <c r="AO20" s="427"/>
      <c r="AP20" s="427"/>
      <c r="AQ20" s="427"/>
      <c r="AR20" s="428"/>
      <c r="AS20" s="17"/>
      <c r="AT20" s="423" t="s">
        <v>28</v>
      </c>
      <c r="AU20" s="424"/>
      <c r="AV20" s="425"/>
      <c r="AW20" s="426" t="s">
        <v>29</v>
      </c>
      <c r="AX20" s="427"/>
      <c r="AY20" s="427"/>
      <c r="AZ20" s="427"/>
      <c r="BA20" s="427"/>
      <c r="BB20" s="427"/>
      <c r="BC20" s="428"/>
      <c r="BD20" s="17"/>
      <c r="BE20" s="423" t="s">
        <v>30</v>
      </c>
      <c r="BF20" s="424"/>
      <c r="BG20" s="425"/>
      <c r="BH20" s="426" t="s">
        <v>29</v>
      </c>
      <c r="BI20" s="427"/>
      <c r="BJ20" s="427"/>
      <c r="BK20" s="427"/>
      <c r="BL20" s="427"/>
      <c r="BM20" s="427"/>
      <c r="BN20" s="432"/>
    </row>
    <row r="21" spans="2:66" s="18" customFormat="1" ht="9.9499999999999993" customHeight="1" x14ac:dyDescent="0.25">
      <c r="B21" s="416" t="s">
        <v>31</v>
      </c>
      <c r="C21" s="413"/>
      <c r="D21" s="413"/>
      <c r="E21" s="413"/>
      <c r="F21" s="413"/>
      <c r="G21" s="413"/>
      <c r="H21" s="413"/>
      <c r="I21" s="413"/>
      <c r="J21" s="413"/>
      <c r="K21" s="417"/>
      <c r="L21" s="17"/>
      <c r="M21" s="421" t="s">
        <v>31</v>
      </c>
      <c r="N21" s="413"/>
      <c r="O21" s="413"/>
      <c r="P21" s="413"/>
      <c r="Q21" s="413"/>
      <c r="R21" s="413"/>
      <c r="S21" s="413"/>
      <c r="T21" s="413"/>
      <c r="U21" s="413"/>
      <c r="V21" s="417"/>
      <c r="W21" s="17"/>
      <c r="X21" s="421" t="s">
        <v>32</v>
      </c>
      <c r="Y21" s="413"/>
      <c r="Z21" s="413"/>
      <c r="AA21" s="413"/>
      <c r="AB21" s="413"/>
      <c r="AC21" s="413"/>
      <c r="AD21" s="413"/>
      <c r="AE21" s="413"/>
      <c r="AF21" s="413"/>
      <c r="AG21" s="417"/>
      <c r="AH21" s="17"/>
      <c r="AI21" s="421" t="s">
        <v>32</v>
      </c>
      <c r="AJ21" s="413"/>
      <c r="AK21" s="413"/>
      <c r="AL21" s="413"/>
      <c r="AM21" s="413"/>
      <c r="AN21" s="413"/>
      <c r="AO21" s="413"/>
      <c r="AP21" s="413"/>
      <c r="AQ21" s="413"/>
      <c r="AR21" s="417"/>
      <c r="AS21" s="17"/>
      <c r="AT21" s="12"/>
      <c r="AU21" s="17"/>
      <c r="AV21" s="17"/>
      <c r="AW21" s="17"/>
      <c r="AX21" s="17"/>
      <c r="AY21" s="17"/>
      <c r="AZ21" s="17"/>
      <c r="BA21" s="17"/>
      <c r="BB21" s="17"/>
      <c r="BC21" s="14"/>
      <c r="BD21" s="17"/>
      <c r="BE21" s="421" t="s">
        <v>33</v>
      </c>
      <c r="BF21" s="413"/>
      <c r="BG21" s="413"/>
      <c r="BH21" s="413"/>
      <c r="BI21" s="413"/>
      <c r="BJ21" s="413"/>
      <c r="BK21" s="413"/>
      <c r="BL21" s="413"/>
      <c r="BM21" s="413"/>
      <c r="BN21" s="414"/>
    </row>
    <row r="22" spans="2:66" s="18" customFormat="1" ht="9.9499999999999993" customHeight="1" x14ac:dyDescent="0.25">
      <c r="B22" s="70"/>
      <c r="C22" s="17"/>
      <c r="D22" s="17"/>
      <c r="E22" s="17"/>
      <c r="F22" s="17"/>
      <c r="G22" s="17"/>
      <c r="H22" s="17"/>
      <c r="I22" s="17"/>
      <c r="J22" s="17"/>
      <c r="K22" s="14"/>
      <c r="L22" s="17"/>
      <c r="M22" s="12"/>
      <c r="N22" s="17"/>
      <c r="O22" s="17"/>
      <c r="P22" s="17"/>
      <c r="Q22" s="17"/>
      <c r="R22" s="17"/>
      <c r="S22" s="17"/>
      <c r="T22" s="17"/>
      <c r="U22" s="17"/>
      <c r="V22" s="14"/>
      <c r="W22" s="17"/>
      <c r="X22" s="12"/>
      <c r="Y22" s="17"/>
      <c r="Z22" s="17"/>
      <c r="AA22" s="17"/>
      <c r="AB22" s="17"/>
      <c r="AC22" s="17"/>
      <c r="AD22" s="17"/>
      <c r="AE22" s="17"/>
      <c r="AF22" s="17"/>
      <c r="AG22" s="14"/>
      <c r="AH22" s="17"/>
      <c r="AI22" s="12"/>
      <c r="AJ22" s="17"/>
      <c r="AK22" s="17"/>
      <c r="AL22" s="17"/>
      <c r="AM22" s="17"/>
      <c r="AN22" s="17"/>
      <c r="AO22" s="17"/>
      <c r="AP22" s="17"/>
      <c r="AQ22" s="17"/>
      <c r="AR22" s="14"/>
      <c r="AS22" s="17"/>
      <c r="AT22" s="12"/>
      <c r="AU22" s="17"/>
      <c r="AV22" s="17"/>
      <c r="AW22" s="17"/>
      <c r="AX22" s="17"/>
      <c r="AY22" s="17"/>
      <c r="AZ22" s="17"/>
      <c r="BA22" s="17"/>
      <c r="BB22" s="17"/>
      <c r="BC22" s="14"/>
      <c r="BD22" s="17"/>
      <c r="BE22" s="12"/>
      <c r="BF22" s="17"/>
      <c r="BG22" s="17"/>
      <c r="BH22" s="17"/>
      <c r="BI22" s="17"/>
      <c r="BJ22" s="17"/>
      <c r="BK22" s="17"/>
      <c r="BL22" s="17"/>
      <c r="BM22" s="17"/>
      <c r="BN22" s="69"/>
    </row>
    <row r="23" spans="2:66" s="18" customFormat="1" ht="9.9499999999999993" customHeight="1" x14ac:dyDescent="0.25">
      <c r="B23" s="70"/>
      <c r="C23" s="17"/>
      <c r="D23" s="17"/>
      <c r="E23" s="17"/>
      <c r="F23" s="17"/>
      <c r="G23" s="17"/>
      <c r="H23" s="17"/>
      <c r="I23" s="17"/>
      <c r="J23" s="17"/>
      <c r="K23" s="14"/>
      <c r="L23" s="17"/>
      <c r="M23" s="12"/>
      <c r="N23" s="17"/>
      <c r="O23" s="17"/>
      <c r="P23" s="17"/>
      <c r="Q23" s="17"/>
      <c r="R23" s="17"/>
      <c r="S23" s="17"/>
      <c r="T23" s="17"/>
      <c r="U23" s="17"/>
      <c r="V23" s="14"/>
      <c r="W23" s="17"/>
      <c r="X23" s="12"/>
      <c r="Y23" s="17"/>
      <c r="Z23" s="17"/>
      <c r="AA23" s="17"/>
      <c r="AB23" s="17"/>
      <c r="AC23" s="17"/>
      <c r="AD23" s="17"/>
      <c r="AE23" s="17"/>
      <c r="AF23" s="17"/>
      <c r="AG23" s="14"/>
      <c r="AH23" s="17"/>
      <c r="AI23" s="12"/>
      <c r="AJ23" s="17"/>
      <c r="AK23" s="17"/>
      <c r="AL23" s="17"/>
      <c r="AM23" s="17"/>
      <c r="AN23" s="17"/>
      <c r="AO23" s="17"/>
      <c r="AP23" s="17"/>
      <c r="AQ23" s="17"/>
      <c r="AR23" s="14"/>
      <c r="AS23" s="17"/>
      <c r="AT23" s="12"/>
      <c r="AU23" s="17"/>
      <c r="AV23" s="17"/>
      <c r="AW23" s="17"/>
      <c r="AX23" s="17"/>
      <c r="AY23" s="17"/>
      <c r="AZ23" s="17"/>
      <c r="BA23" s="17"/>
      <c r="BB23" s="17"/>
      <c r="BC23" s="14"/>
      <c r="BD23" s="17"/>
      <c r="BE23" s="12"/>
      <c r="BF23" s="17"/>
      <c r="BG23" s="17"/>
      <c r="BH23" s="17"/>
      <c r="BI23" s="17"/>
      <c r="BJ23" s="17"/>
      <c r="BK23" s="17"/>
      <c r="BL23" s="17"/>
      <c r="BM23" s="17"/>
      <c r="BN23" s="69"/>
    </row>
    <row r="24" spans="2:66" s="18" customFormat="1" ht="9.9499999999999993" customHeight="1" x14ac:dyDescent="0.25">
      <c r="B24" s="70"/>
      <c r="C24" s="17"/>
      <c r="D24" s="17"/>
      <c r="E24" s="17"/>
      <c r="F24" s="17"/>
      <c r="G24" s="17"/>
      <c r="H24" s="17"/>
      <c r="I24" s="17"/>
      <c r="J24" s="17"/>
      <c r="K24" s="14"/>
      <c r="L24" s="17"/>
      <c r="M24" s="12"/>
      <c r="N24" s="17"/>
      <c r="O24" s="17"/>
      <c r="P24" s="17"/>
      <c r="Q24" s="17"/>
      <c r="R24" s="17"/>
      <c r="S24" s="17"/>
      <c r="T24" s="17"/>
      <c r="U24" s="17"/>
      <c r="V24" s="14"/>
      <c r="W24" s="17"/>
      <c r="X24" s="12"/>
      <c r="Y24" s="17"/>
      <c r="Z24" s="17"/>
      <c r="AA24" s="17"/>
      <c r="AB24" s="17"/>
      <c r="AC24" s="17"/>
      <c r="AD24" s="17"/>
      <c r="AE24" s="17"/>
      <c r="AF24" s="17"/>
      <c r="AG24" s="14"/>
      <c r="AH24" s="17"/>
      <c r="AI24" s="12"/>
      <c r="AJ24" s="17"/>
      <c r="AK24" s="17"/>
      <c r="AL24" s="17"/>
      <c r="AM24" s="17"/>
      <c r="AN24" s="17"/>
      <c r="AO24" s="17"/>
      <c r="AP24" s="17"/>
      <c r="AQ24" s="17"/>
      <c r="AR24" s="14"/>
      <c r="AS24" s="17"/>
      <c r="AT24" s="12"/>
      <c r="AU24" s="17"/>
      <c r="AV24" s="17"/>
      <c r="AW24" s="17"/>
      <c r="AX24" s="17"/>
      <c r="AY24" s="17"/>
      <c r="AZ24" s="17"/>
      <c r="BA24" s="17"/>
      <c r="BB24" s="17"/>
      <c r="BC24" s="14"/>
      <c r="BD24" s="17"/>
      <c r="BE24" s="12"/>
      <c r="BF24" s="17"/>
      <c r="BG24" s="17"/>
      <c r="BH24" s="17"/>
      <c r="BI24" s="17"/>
      <c r="BJ24" s="17"/>
      <c r="BK24" s="17"/>
      <c r="BL24" s="17"/>
      <c r="BM24" s="17"/>
      <c r="BN24" s="69"/>
    </row>
    <row r="25" spans="2:66" s="18" customFormat="1" ht="9.9499999999999993" customHeight="1" x14ac:dyDescent="0.25">
      <c r="B25" s="70"/>
      <c r="C25" s="17"/>
      <c r="D25" s="17"/>
      <c r="E25" s="17"/>
      <c r="F25" s="17"/>
      <c r="G25" s="17"/>
      <c r="H25" s="17"/>
      <c r="I25" s="17"/>
      <c r="J25" s="17"/>
      <c r="K25" s="14"/>
      <c r="L25" s="17"/>
      <c r="M25" s="12"/>
      <c r="N25" s="17"/>
      <c r="O25" s="17"/>
      <c r="P25" s="17"/>
      <c r="Q25" s="17"/>
      <c r="R25" s="17"/>
      <c r="S25" s="17"/>
      <c r="T25" s="17"/>
      <c r="U25" s="17"/>
      <c r="V25" s="14"/>
      <c r="W25" s="17"/>
      <c r="X25" s="12"/>
      <c r="Y25" s="17"/>
      <c r="Z25" s="17"/>
      <c r="AA25" s="17"/>
      <c r="AB25" s="17"/>
      <c r="AC25" s="17"/>
      <c r="AD25" s="17"/>
      <c r="AE25" s="17"/>
      <c r="AF25" s="17"/>
      <c r="AG25" s="14"/>
      <c r="AH25" s="17"/>
      <c r="AI25" s="12"/>
      <c r="AJ25" s="17"/>
      <c r="AK25" s="17"/>
      <c r="AL25" s="17"/>
      <c r="AM25" s="17"/>
      <c r="AN25" s="17"/>
      <c r="AO25" s="17"/>
      <c r="AP25" s="17"/>
      <c r="AQ25" s="17"/>
      <c r="AR25" s="14"/>
      <c r="AS25" s="17"/>
      <c r="AT25" s="12"/>
      <c r="AU25" s="17"/>
      <c r="AV25" s="17"/>
      <c r="AW25" s="17"/>
      <c r="AX25" s="17"/>
      <c r="AY25" s="17"/>
      <c r="AZ25" s="17"/>
      <c r="BA25" s="17"/>
      <c r="BB25" s="17"/>
      <c r="BC25" s="14"/>
      <c r="BD25" s="17"/>
      <c r="BE25" s="12"/>
      <c r="BF25" s="17"/>
      <c r="BG25" s="17"/>
      <c r="BH25" s="17"/>
      <c r="BI25" s="17"/>
      <c r="BJ25" s="17"/>
      <c r="BK25" s="17"/>
      <c r="BL25" s="17"/>
      <c r="BM25" s="17"/>
      <c r="BN25" s="69"/>
    </row>
    <row r="26" spans="2:66" s="18" customFormat="1" ht="9.9499999999999993" customHeight="1" x14ac:dyDescent="0.25">
      <c r="B26" s="70"/>
      <c r="C26" s="17"/>
      <c r="D26" s="17"/>
      <c r="E26" s="17"/>
      <c r="F26" s="17"/>
      <c r="G26" s="17"/>
      <c r="H26" s="17"/>
      <c r="I26" s="17"/>
      <c r="J26" s="17"/>
      <c r="K26" s="14"/>
      <c r="L26" s="17"/>
      <c r="M26" s="12"/>
      <c r="N26" s="17"/>
      <c r="O26" s="17"/>
      <c r="P26" s="17"/>
      <c r="Q26" s="17"/>
      <c r="R26" s="17"/>
      <c r="S26" s="17"/>
      <c r="T26" s="17"/>
      <c r="U26" s="17"/>
      <c r="V26" s="14"/>
      <c r="W26" s="17"/>
      <c r="X26" s="12"/>
      <c r="Y26" s="17"/>
      <c r="Z26" s="17"/>
      <c r="AA26" s="17"/>
      <c r="AB26" s="17"/>
      <c r="AC26" s="17"/>
      <c r="AD26" s="17"/>
      <c r="AE26" s="17"/>
      <c r="AF26" s="17"/>
      <c r="AG26" s="14"/>
      <c r="AH26" s="17"/>
      <c r="AI26" s="12"/>
      <c r="AJ26" s="17"/>
      <c r="AK26" s="17"/>
      <c r="AL26" s="17"/>
      <c r="AM26" s="17"/>
      <c r="AN26" s="17"/>
      <c r="AO26" s="17"/>
      <c r="AP26" s="17"/>
      <c r="AQ26" s="17"/>
      <c r="AR26" s="14"/>
      <c r="AS26" s="17"/>
      <c r="AT26" s="12"/>
      <c r="AU26" s="17"/>
      <c r="AV26" s="17"/>
      <c r="AW26" s="17"/>
      <c r="AX26" s="17"/>
      <c r="AY26" s="17"/>
      <c r="AZ26" s="17"/>
      <c r="BA26" s="17"/>
      <c r="BB26" s="17"/>
      <c r="BC26" s="14"/>
      <c r="BD26" s="17"/>
      <c r="BE26" s="12"/>
      <c r="BF26" s="17"/>
      <c r="BG26" s="17"/>
      <c r="BH26" s="17"/>
      <c r="BI26" s="17"/>
      <c r="BJ26" s="17"/>
      <c r="BK26" s="17"/>
      <c r="BL26" s="17"/>
      <c r="BM26" s="17"/>
      <c r="BN26" s="69"/>
    </row>
    <row r="27" spans="2:66" s="18" customFormat="1" ht="9.9499999999999993" customHeight="1" x14ac:dyDescent="0.25">
      <c r="B27" s="70"/>
      <c r="C27" s="17"/>
      <c r="D27" s="17"/>
      <c r="E27" s="17"/>
      <c r="F27" s="17"/>
      <c r="G27" s="17"/>
      <c r="H27" s="17"/>
      <c r="I27" s="17"/>
      <c r="J27" s="17"/>
      <c r="K27" s="14"/>
      <c r="L27" s="17"/>
      <c r="M27" s="12"/>
      <c r="N27" s="17"/>
      <c r="O27" s="17"/>
      <c r="P27" s="17"/>
      <c r="Q27" s="17"/>
      <c r="R27" s="17"/>
      <c r="S27" s="17"/>
      <c r="T27" s="17"/>
      <c r="U27" s="17"/>
      <c r="V27" s="14"/>
      <c r="W27" s="17"/>
      <c r="X27" s="12"/>
      <c r="Y27" s="17"/>
      <c r="Z27" s="17"/>
      <c r="AA27" s="17"/>
      <c r="AB27" s="17"/>
      <c r="AC27" s="17"/>
      <c r="AD27" s="17"/>
      <c r="AE27" s="17"/>
      <c r="AF27" s="17"/>
      <c r="AG27" s="14"/>
      <c r="AH27" s="17"/>
      <c r="AI27" s="12"/>
      <c r="AJ27" s="17"/>
      <c r="AK27" s="17"/>
      <c r="AL27" s="17"/>
      <c r="AM27" s="17"/>
      <c r="AN27" s="17"/>
      <c r="AO27" s="17"/>
      <c r="AP27" s="17"/>
      <c r="AQ27" s="17"/>
      <c r="AR27" s="14"/>
      <c r="AS27" s="17"/>
      <c r="AT27" s="12"/>
      <c r="AU27" s="17"/>
      <c r="AV27" s="17"/>
      <c r="AW27" s="17"/>
      <c r="AX27" s="17"/>
      <c r="AY27" s="17"/>
      <c r="AZ27" s="17"/>
      <c r="BA27" s="17"/>
      <c r="BB27" s="17"/>
      <c r="BC27" s="14"/>
      <c r="BD27" s="17"/>
      <c r="BE27" s="12"/>
      <c r="BF27" s="17"/>
      <c r="BG27" s="17"/>
      <c r="BH27" s="17"/>
      <c r="BI27" s="17"/>
      <c r="BJ27" s="17"/>
      <c r="BK27" s="17"/>
      <c r="BL27" s="17"/>
      <c r="BM27" s="17"/>
      <c r="BN27" s="69"/>
    </row>
    <row r="28" spans="2:66" s="18" customFormat="1" ht="9.9499999999999993" customHeight="1" x14ac:dyDescent="0.25">
      <c r="B28" s="70"/>
      <c r="C28" s="17"/>
      <c r="D28" s="17"/>
      <c r="E28" s="17"/>
      <c r="F28" s="17"/>
      <c r="G28" s="17"/>
      <c r="H28" s="17"/>
      <c r="I28" s="17"/>
      <c r="J28" s="17"/>
      <c r="K28" s="14"/>
      <c r="L28" s="17"/>
      <c r="M28" s="12"/>
      <c r="N28" s="17"/>
      <c r="O28" s="17"/>
      <c r="P28" s="17"/>
      <c r="Q28" s="17"/>
      <c r="R28" s="17"/>
      <c r="S28" s="17"/>
      <c r="T28" s="17"/>
      <c r="U28" s="17"/>
      <c r="V28" s="14"/>
      <c r="W28" s="17"/>
      <c r="X28" s="12"/>
      <c r="Y28" s="17"/>
      <c r="Z28" s="17"/>
      <c r="AA28" s="17"/>
      <c r="AB28" s="17"/>
      <c r="AC28" s="17"/>
      <c r="AD28" s="17"/>
      <c r="AE28" s="17"/>
      <c r="AF28" s="17"/>
      <c r="AG28" s="14"/>
      <c r="AH28" s="17"/>
      <c r="AI28" s="12"/>
      <c r="AJ28" s="17"/>
      <c r="AK28" s="17"/>
      <c r="AL28" s="17"/>
      <c r="AM28" s="17"/>
      <c r="AN28" s="17"/>
      <c r="AO28" s="17"/>
      <c r="AP28" s="17"/>
      <c r="AQ28" s="17"/>
      <c r="AR28" s="14"/>
      <c r="AS28" s="17"/>
      <c r="AT28" s="12"/>
      <c r="AU28" s="17"/>
      <c r="AV28" s="17"/>
      <c r="AW28" s="17"/>
      <c r="AX28" s="17"/>
      <c r="AY28" s="17"/>
      <c r="AZ28" s="17"/>
      <c r="BA28" s="17"/>
      <c r="BB28" s="17"/>
      <c r="BC28" s="14"/>
      <c r="BD28" s="17"/>
      <c r="BE28" s="12"/>
      <c r="BF28" s="17"/>
      <c r="BG28" s="17"/>
      <c r="BH28" s="17"/>
      <c r="BI28" s="17"/>
      <c r="BJ28" s="17"/>
      <c r="BK28" s="17"/>
      <c r="BL28" s="17"/>
      <c r="BM28" s="17"/>
      <c r="BN28" s="69"/>
    </row>
    <row r="29" spans="2:66" s="18" customFormat="1" ht="16.5" customHeight="1" x14ac:dyDescent="0.25">
      <c r="B29" s="70"/>
      <c r="C29" s="17"/>
      <c r="D29" s="17"/>
      <c r="E29" s="17"/>
      <c r="F29" s="17"/>
      <c r="G29" s="17"/>
      <c r="H29" s="17"/>
      <c r="I29" s="17"/>
      <c r="J29" s="17"/>
      <c r="K29" s="14"/>
      <c r="L29" s="17"/>
      <c r="M29" s="12"/>
      <c r="N29" s="17"/>
      <c r="O29" s="17"/>
      <c r="P29" s="17"/>
      <c r="Q29" s="17"/>
      <c r="R29" s="17"/>
      <c r="S29" s="17"/>
      <c r="T29" s="17"/>
      <c r="U29" s="17"/>
      <c r="V29" s="14"/>
      <c r="W29" s="17"/>
      <c r="X29" s="12"/>
      <c r="Y29" s="17"/>
      <c r="Z29" s="17"/>
      <c r="AA29" s="17"/>
      <c r="AB29" s="17"/>
      <c r="AC29" s="17"/>
      <c r="AD29" s="17"/>
      <c r="AE29" s="17"/>
      <c r="AF29" s="17"/>
      <c r="AG29" s="14"/>
      <c r="AH29" s="17"/>
      <c r="AI29" s="12"/>
      <c r="AJ29" s="17"/>
      <c r="AK29" s="17"/>
      <c r="AL29" s="17"/>
      <c r="AM29" s="17"/>
      <c r="AN29" s="17"/>
      <c r="AO29" s="17"/>
      <c r="AP29" s="17"/>
      <c r="AQ29" s="17"/>
      <c r="AR29" s="14"/>
      <c r="AS29" s="17"/>
      <c r="AT29" s="12"/>
      <c r="AU29" s="17"/>
      <c r="AV29" s="17"/>
      <c r="AW29" s="17"/>
      <c r="AX29" s="17"/>
      <c r="AY29" s="17"/>
      <c r="AZ29" s="17"/>
      <c r="BA29" s="17"/>
      <c r="BB29" s="17"/>
      <c r="BC29" s="14"/>
      <c r="BD29" s="17"/>
      <c r="BE29" s="12"/>
      <c r="BF29" s="17"/>
      <c r="BG29" s="17"/>
      <c r="BH29" s="17"/>
      <c r="BI29" s="17"/>
      <c r="BJ29" s="17"/>
      <c r="BK29" s="17"/>
      <c r="BL29" s="17"/>
      <c r="BM29" s="17"/>
      <c r="BN29" s="69"/>
    </row>
    <row r="30" spans="2:66" s="18" customFormat="1" ht="9.9499999999999993" customHeight="1" x14ac:dyDescent="0.25">
      <c r="B30" s="416" t="s">
        <v>34</v>
      </c>
      <c r="C30" s="413"/>
      <c r="D30" s="413"/>
      <c r="E30" s="413"/>
      <c r="F30" s="413"/>
      <c r="G30" s="413"/>
      <c r="H30" s="413"/>
      <c r="I30" s="413"/>
      <c r="J30" s="413"/>
      <c r="K30" s="417"/>
      <c r="L30" s="17"/>
      <c r="M30" s="421" t="s">
        <v>35</v>
      </c>
      <c r="N30" s="413"/>
      <c r="O30" s="413"/>
      <c r="P30" s="413"/>
      <c r="Q30" s="413"/>
      <c r="R30" s="413"/>
      <c r="S30" s="413"/>
      <c r="T30" s="413"/>
      <c r="U30" s="413"/>
      <c r="V30" s="417"/>
      <c r="W30" s="17"/>
      <c r="X30" s="421" t="s">
        <v>36</v>
      </c>
      <c r="Y30" s="413"/>
      <c r="Z30" s="413"/>
      <c r="AA30" s="413"/>
      <c r="AB30" s="413"/>
      <c r="AC30" s="413"/>
      <c r="AD30" s="413"/>
      <c r="AE30" s="413"/>
      <c r="AF30" s="413"/>
      <c r="AG30" s="417"/>
      <c r="AH30" s="17"/>
      <c r="AI30" s="421" t="s">
        <v>20</v>
      </c>
      <c r="AJ30" s="413"/>
      <c r="AK30" s="413"/>
      <c r="AL30" s="413"/>
      <c r="AM30" s="413"/>
      <c r="AN30" s="413"/>
      <c r="AO30" s="413"/>
      <c r="AP30" s="413"/>
      <c r="AQ30" s="413"/>
      <c r="AR30" s="417"/>
      <c r="AS30" s="17"/>
      <c r="AT30" s="421" t="s">
        <v>37</v>
      </c>
      <c r="AU30" s="413"/>
      <c r="AV30" s="413"/>
      <c r="AW30" s="413"/>
      <c r="AX30" s="413"/>
      <c r="AY30" s="413"/>
      <c r="AZ30" s="413"/>
      <c r="BA30" s="413"/>
      <c r="BB30" s="413"/>
      <c r="BC30" s="417"/>
      <c r="BD30" s="17"/>
      <c r="BE30" s="421" t="s">
        <v>38</v>
      </c>
      <c r="BF30" s="413"/>
      <c r="BG30" s="413"/>
      <c r="BH30" s="413"/>
      <c r="BI30" s="413"/>
      <c r="BJ30" s="413"/>
      <c r="BK30" s="413"/>
      <c r="BL30" s="413"/>
      <c r="BM30" s="413"/>
      <c r="BN30" s="414"/>
    </row>
    <row r="31" spans="2:66" s="18" customFormat="1" ht="9.9499999999999993" customHeight="1" x14ac:dyDescent="0.25">
      <c r="B31" s="409" t="s">
        <v>21</v>
      </c>
      <c r="C31" s="409"/>
      <c r="D31" s="409"/>
      <c r="E31" s="409"/>
      <c r="F31" s="409"/>
      <c r="G31" s="409"/>
      <c r="H31" s="409">
        <f>CEILING(2664*B3,1)</f>
        <v>5328</v>
      </c>
      <c r="I31" s="409"/>
      <c r="J31" s="409"/>
      <c r="K31" s="409"/>
      <c r="L31" s="19"/>
      <c r="M31" s="409" t="s">
        <v>22</v>
      </c>
      <c r="N31" s="409"/>
      <c r="O31" s="409"/>
      <c r="P31" s="409"/>
      <c r="Q31" s="409"/>
      <c r="R31" s="409"/>
      <c r="S31" s="409">
        <f>CEILING(4384*B3,1)</f>
        <v>8768</v>
      </c>
      <c r="T31" s="409"/>
      <c r="U31" s="409"/>
      <c r="V31" s="409"/>
      <c r="W31" s="19"/>
      <c r="X31" s="409" t="s">
        <v>21</v>
      </c>
      <c r="Y31" s="409"/>
      <c r="Z31" s="409"/>
      <c r="AA31" s="409"/>
      <c r="AB31" s="409"/>
      <c r="AC31" s="409"/>
      <c r="AD31" s="409">
        <f>CEILING(2770*B3,1)</f>
        <v>5540</v>
      </c>
      <c r="AE31" s="409"/>
      <c r="AF31" s="409"/>
      <c r="AG31" s="409"/>
      <c r="AH31" s="19"/>
      <c r="AI31" s="409" t="s">
        <v>22</v>
      </c>
      <c r="AJ31" s="409"/>
      <c r="AK31" s="409"/>
      <c r="AL31" s="409"/>
      <c r="AM31" s="409"/>
      <c r="AN31" s="409"/>
      <c r="AO31" s="409">
        <f>CEILING(4540*B3,1)</f>
        <v>9080</v>
      </c>
      <c r="AP31" s="409"/>
      <c r="AQ31" s="409"/>
      <c r="AR31" s="409"/>
      <c r="AS31" s="19"/>
      <c r="AT31" s="409"/>
      <c r="AU31" s="409"/>
      <c r="AV31" s="409"/>
      <c r="AW31" s="409"/>
      <c r="AX31" s="409"/>
      <c r="AY31" s="409"/>
      <c r="AZ31" s="409">
        <f>CEILING(3123*B3,1)</f>
        <v>6246</v>
      </c>
      <c r="BA31" s="409"/>
      <c r="BB31" s="409"/>
      <c r="BC31" s="409"/>
      <c r="BD31" s="19"/>
      <c r="BE31" s="409"/>
      <c r="BF31" s="409"/>
      <c r="BG31" s="409"/>
      <c r="BH31" s="409"/>
      <c r="BI31" s="409"/>
      <c r="BJ31" s="409"/>
      <c r="BK31" s="409">
        <f>CEILING(3379*B3,1)</f>
        <v>6758</v>
      </c>
      <c r="BL31" s="409"/>
      <c r="BM31" s="409"/>
      <c r="BN31" s="409"/>
    </row>
    <row r="32" spans="2:66" s="18" customFormat="1" ht="0.2" customHeight="1" x14ac:dyDescent="0.25">
      <c r="B32" s="70"/>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69"/>
    </row>
    <row r="33" spans="2:66" s="18" customFormat="1" ht="9.9499999999999993" customHeight="1" x14ac:dyDescent="0.25">
      <c r="B33" s="429" t="s">
        <v>39</v>
      </c>
      <c r="C33" s="424"/>
      <c r="D33" s="425"/>
      <c r="E33" s="426" t="s">
        <v>29</v>
      </c>
      <c r="F33" s="427"/>
      <c r="G33" s="427"/>
      <c r="H33" s="427"/>
      <c r="I33" s="427"/>
      <c r="J33" s="427"/>
      <c r="K33" s="428"/>
      <c r="L33" s="17"/>
      <c r="M33" s="423" t="s">
        <v>40</v>
      </c>
      <c r="N33" s="424"/>
      <c r="O33" s="425"/>
      <c r="P33" s="426" t="s">
        <v>29</v>
      </c>
      <c r="Q33" s="427"/>
      <c r="R33" s="427"/>
      <c r="S33" s="427"/>
      <c r="T33" s="427"/>
      <c r="U33" s="427"/>
      <c r="V33" s="428"/>
      <c r="W33" s="17"/>
      <c r="X33" s="423" t="s">
        <v>28</v>
      </c>
      <c r="Y33" s="424"/>
      <c r="Z33" s="425"/>
      <c r="AA33" s="426" t="s">
        <v>29</v>
      </c>
      <c r="AB33" s="427"/>
      <c r="AC33" s="427"/>
      <c r="AD33" s="427"/>
      <c r="AE33" s="427"/>
      <c r="AF33" s="427"/>
      <c r="AG33" s="428"/>
      <c r="AH33" s="17"/>
      <c r="AI33" s="433" t="s">
        <v>30</v>
      </c>
      <c r="AJ33" s="433"/>
      <c r="AK33" s="433"/>
      <c r="AL33" s="433"/>
      <c r="AM33" s="427" t="s">
        <v>29</v>
      </c>
      <c r="AN33" s="427"/>
      <c r="AO33" s="427"/>
      <c r="AP33" s="427"/>
      <c r="AQ33" s="427"/>
      <c r="AR33" s="428"/>
      <c r="AS33" s="17"/>
      <c r="AT33" s="423" t="s">
        <v>39</v>
      </c>
      <c r="AU33" s="424"/>
      <c r="AV33" s="425"/>
      <c r="AW33" s="426" t="s">
        <v>29</v>
      </c>
      <c r="AX33" s="427"/>
      <c r="AY33" s="427"/>
      <c r="AZ33" s="427"/>
      <c r="BA33" s="427"/>
      <c r="BB33" s="427"/>
      <c r="BC33" s="428"/>
      <c r="BD33" s="17"/>
      <c r="BE33" s="433" t="s">
        <v>40</v>
      </c>
      <c r="BF33" s="433"/>
      <c r="BG33" s="433"/>
      <c r="BH33" s="433"/>
      <c r="BI33" s="427" t="s">
        <v>29</v>
      </c>
      <c r="BJ33" s="427"/>
      <c r="BK33" s="427"/>
      <c r="BL33" s="427"/>
      <c r="BM33" s="427"/>
      <c r="BN33" s="432"/>
    </row>
    <row r="34" spans="2:66" s="18" customFormat="1" ht="9.9499999999999993" customHeight="1" x14ac:dyDescent="0.25">
      <c r="B34" s="70" t="s">
        <v>41</v>
      </c>
      <c r="C34" s="17"/>
      <c r="D34" s="17"/>
      <c r="E34" s="17"/>
      <c r="F34" s="17"/>
      <c r="G34" s="17"/>
      <c r="H34" s="17"/>
      <c r="I34" s="17"/>
      <c r="J34" s="17"/>
      <c r="K34" s="14"/>
      <c r="L34" s="17"/>
      <c r="M34" s="421" t="s">
        <v>14</v>
      </c>
      <c r="N34" s="413"/>
      <c r="O34" s="413"/>
      <c r="P34" s="413"/>
      <c r="Q34" s="413"/>
      <c r="R34" s="413"/>
      <c r="S34" s="413"/>
      <c r="T34" s="413"/>
      <c r="U34" s="413"/>
      <c r="V34" s="417"/>
      <c r="W34" s="17"/>
      <c r="X34" s="421" t="s">
        <v>268</v>
      </c>
      <c r="Y34" s="413"/>
      <c r="Z34" s="413"/>
      <c r="AA34" s="413"/>
      <c r="AB34" s="413"/>
      <c r="AC34" s="413"/>
      <c r="AD34" s="413"/>
      <c r="AE34" s="413"/>
      <c r="AF34" s="413"/>
      <c r="AG34" s="417"/>
      <c r="AH34" s="17"/>
      <c r="AI34" s="421" t="s">
        <v>269</v>
      </c>
      <c r="AJ34" s="413"/>
      <c r="AK34" s="413"/>
      <c r="AL34" s="413"/>
      <c r="AM34" s="413"/>
      <c r="AN34" s="413"/>
      <c r="AO34" s="413"/>
      <c r="AP34" s="413"/>
      <c r="AQ34" s="413"/>
      <c r="AR34" s="417"/>
      <c r="AS34" s="17"/>
      <c r="AT34" s="421" t="s">
        <v>17</v>
      </c>
      <c r="AU34" s="413"/>
      <c r="AV34" s="413"/>
      <c r="AW34" s="413"/>
      <c r="AX34" s="413"/>
      <c r="AY34" s="413"/>
      <c r="AZ34" s="413"/>
      <c r="BA34" s="413"/>
      <c r="BB34" s="413"/>
      <c r="BC34" s="417"/>
      <c r="BD34" s="17"/>
      <c r="BE34" s="421" t="s">
        <v>269</v>
      </c>
      <c r="BF34" s="413"/>
      <c r="BG34" s="413"/>
      <c r="BH34" s="413"/>
      <c r="BI34" s="413"/>
      <c r="BJ34" s="413"/>
      <c r="BK34" s="413"/>
      <c r="BL34" s="413"/>
      <c r="BM34" s="413"/>
      <c r="BN34" s="414"/>
    </row>
    <row r="35" spans="2:66" s="18" customFormat="1" ht="9.9499999999999993" customHeight="1" x14ac:dyDescent="0.25">
      <c r="B35" s="70"/>
      <c r="C35" s="17"/>
      <c r="D35" s="17"/>
      <c r="E35" s="17"/>
      <c r="F35" s="17"/>
      <c r="G35" s="17"/>
      <c r="H35" s="17"/>
      <c r="I35" s="17"/>
      <c r="J35" s="17"/>
      <c r="K35" s="14"/>
      <c r="L35" s="17"/>
      <c r="M35" s="421"/>
      <c r="N35" s="413"/>
      <c r="O35" s="413"/>
      <c r="P35" s="413"/>
      <c r="Q35" s="413"/>
      <c r="R35" s="413"/>
      <c r="S35" s="413"/>
      <c r="T35" s="413"/>
      <c r="U35" s="413"/>
      <c r="V35" s="417"/>
      <c r="W35" s="17"/>
      <c r="X35" s="421"/>
      <c r="Y35" s="413"/>
      <c r="Z35" s="413"/>
      <c r="AA35" s="413"/>
      <c r="AB35" s="413"/>
      <c r="AC35" s="413"/>
      <c r="AD35" s="413"/>
      <c r="AE35" s="413"/>
      <c r="AF35" s="413"/>
      <c r="AG35" s="417"/>
      <c r="AH35" s="17"/>
      <c r="AI35" s="421" t="s">
        <v>12</v>
      </c>
      <c r="AJ35" s="413"/>
      <c r="AK35" s="413"/>
      <c r="AL35" s="413"/>
      <c r="AM35" s="413"/>
      <c r="AN35" s="413"/>
      <c r="AO35" s="413"/>
      <c r="AP35" s="413"/>
      <c r="AQ35" s="413"/>
      <c r="AR35" s="417"/>
      <c r="AS35" s="17"/>
      <c r="AT35" s="421" t="s">
        <v>12</v>
      </c>
      <c r="AU35" s="413"/>
      <c r="AV35" s="413"/>
      <c r="AW35" s="413"/>
      <c r="AX35" s="413"/>
      <c r="AY35" s="413"/>
      <c r="AZ35" s="413"/>
      <c r="BA35" s="413"/>
      <c r="BB35" s="413"/>
      <c r="BC35" s="417"/>
      <c r="BD35" s="17"/>
      <c r="BE35" s="421" t="s">
        <v>12</v>
      </c>
      <c r="BF35" s="413"/>
      <c r="BG35" s="413"/>
      <c r="BH35" s="413"/>
      <c r="BI35" s="413"/>
      <c r="BJ35" s="413"/>
      <c r="BK35" s="413"/>
      <c r="BL35" s="413"/>
      <c r="BM35" s="413"/>
      <c r="BN35" s="414"/>
    </row>
    <row r="36" spans="2:66" s="18" customFormat="1" ht="9.9499999999999993" customHeight="1" x14ac:dyDescent="0.25">
      <c r="B36" s="70"/>
      <c r="C36" s="17"/>
      <c r="D36" s="17"/>
      <c r="E36" s="17"/>
      <c r="F36" s="17"/>
      <c r="G36" s="17"/>
      <c r="H36" s="17"/>
      <c r="I36" s="17"/>
      <c r="J36" s="17"/>
      <c r="K36" s="14"/>
      <c r="L36" s="17"/>
      <c r="M36" s="12"/>
      <c r="N36" s="17"/>
      <c r="O36" s="17"/>
      <c r="P36" s="17"/>
      <c r="Q36" s="17"/>
      <c r="R36" s="17"/>
      <c r="S36" s="17"/>
      <c r="T36" s="17"/>
      <c r="U36" s="17"/>
      <c r="V36" s="14"/>
      <c r="W36" s="17"/>
      <c r="X36" s="12"/>
      <c r="Y36" s="17"/>
      <c r="Z36" s="17"/>
      <c r="AA36" s="17"/>
      <c r="AB36" s="17"/>
      <c r="AC36" s="17"/>
      <c r="AD36" s="17"/>
      <c r="AE36" s="17"/>
      <c r="AF36" s="17"/>
      <c r="AG36" s="14"/>
      <c r="AH36" s="17"/>
      <c r="AI36" s="12"/>
      <c r="AJ36" s="17"/>
      <c r="AK36" s="17"/>
      <c r="AL36" s="17"/>
      <c r="AM36" s="17"/>
      <c r="AN36" s="17"/>
      <c r="AO36" s="17"/>
      <c r="AP36" s="17"/>
      <c r="AQ36" s="17"/>
      <c r="AR36" s="14"/>
      <c r="AS36" s="17"/>
      <c r="AT36" s="12"/>
      <c r="AU36" s="17"/>
      <c r="AV36" s="17"/>
      <c r="AW36" s="17"/>
      <c r="AX36" s="17"/>
      <c r="AY36" s="17"/>
      <c r="AZ36" s="17"/>
      <c r="BA36" s="17"/>
      <c r="BB36" s="17"/>
      <c r="BC36" s="14"/>
      <c r="BD36" s="17"/>
      <c r="BE36" s="12"/>
      <c r="BF36" s="17"/>
      <c r="BG36" s="17"/>
      <c r="BH36" s="17"/>
      <c r="BI36" s="17"/>
      <c r="BJ36" s="17"/>
      <c r="BK36" s="17"/>
      <c r="BL36" s="17"/>
      <c r="BM36" s="17"/>
      <c r="BN36" s="69"/>
    </row>
    <row r="37" spans="2:66" s="18" customFormat="1" ht="9.9499999999999993" customHeight="1" x14ac:dyDescent="0.25">
      <c r="B37" s="70"/>
      <c r="C37" s="17"/>
      <c r="D37" s="17"/>
      <c r="E37" s="17"/>
      <c r="F37" s="17"/>
      <c r="G37" s="17"/>
      <c r="H37" s="17"/>
      <c r="I37" s="17"/>
      <c r="J37" s="17"/>
      <c r="K37" s="14"/>
      <c r="L37" s="17"/>
      <c r="M37" s="12"/>
      <c r="N37" s="17"/>
      <c r="O37" s="17"/>
      <c r="P37" s="17"/>
      <c r="Q37" s="17"/>
      <c r="R37" s="17"/>
      <c r="S37" s="17"/>
      <c r="T37" s="17"/>
      <c r="U37" s="17"/>
      <c r="V37" s="14"/>
      <c r="W37" s="17"/>
      <c r="X37" s="12"/>
      <c r="Y37" s="17"/>
      <c r="Z37" s="17"/>
      <c r="AA37" s="17"/>
      <c r="AB37" s="17"/>
      <c r="AC37" s="17"/>
      <c r="AD37" s="17"/>
      <c r="AE37" s="17"/>
      <c r="AF37" s="17"/>
      <c r="AG37" s="14"/>
      <c r="AH37" s="17"/>
      <c r="AI37" s="12"/>
      <c r="AJ37" s="17"/>
      <c r="AK37" s="17"/>
      <c r="AL37" s="17"/>
      <c r="AM37" s="17"/>
      <c r="AN37" s="17"/>
      <c r="AO37" s="17"/>
      <c r="AP37" s="17"/>
      <c r="AQ37" s="17"/>
      <c r="AR37" s="14"/>
      <c r="AS37" s="17"/>
      <c r="AT37" s="12"/>
      <c r="AU37" s="17"/>
      <c r="AV37" s="17"/>
      <c r="AW37" s="17"/>
      <c r="AX37" s="17"/>
      <c r="AY37" s="17"/>
      <c r="AZ37" s="17"/>
      <c r="BA37" s="17"/>
      <c r="BB37" s="17"/>
      <c r="BC37" s="14"/>
      <c r="BD37" s="17"/>
      <c r="BE37" s="12"/>
      <c r="BF37" s="17"/>
      <c r="BG37" s="17"/>
      <c r="BH37" s="17"/>
      <c r="BI37" s="17"/>
      <c r="BJ37" s="17"/>
      <c r="BK37" s="17"/>
      <c r="BL37" s="17"/>
      <c r="BM37" s="17"/>
      <c r="BN37" s="69"/>
    </row>
    <row r="38" spans="2:66" s="18" customFormat="1" ht="9.9499999999999993" customHeight="1" x14ac:dyDescent="0.25">
      <c r="B38" s="70"/>
      <c r="C38" s="17"/>
      <c r="D38" s="17"/>
      <c r="E38" s="17"/>
      <c r="F38" s="17"/>
      <c r="G38" s="17"/>
      <c r="H38" s="17"/>
      <c r="I38" s="17"/>
      <c r="J38" s="17"/>
      <c r="K38" s="14"/>
      <c r="L38" s="17"/>
      <c r="M38" s="12"/>
      <c r="N38" s="17"/>
      <c r="O38" s="17"/>
      <c r="P38" s="17"/>
      <c r="Q38" s="17"/>
      <c r="R38" s="17"/>
      <c r="S38" s="17"/>
      <c r="T38" s="17"/>
      <c r="U38" s="17"/>
      <c r="V38" s="14"/>
      <c r="W38" s="17"/>
      <c r="X38" s="12"/>
      <c r="Y38" s="17"/>
      <c r="Z38" s="17"/>
      <c r="AA38" s="17"/>
      <c r="AB38" s="17"/>
      <c r="AC38" s="17"/>
      <c r="AD38" s="17"/>
      <c r="AE38" s="17"/>
      <c r="AF38" s="17"/>
      <c r="AG38" s="14"/>
      <c r="AH38" s="17"/>
      <c r="AI38" s="12"/>
      <c r="AJ38" s="17"/>
      <c r="AK38" s="17"/>
      <c r="AL38" s="17"/>
      <c r="AM38" s="17"/>
      <c r="AN38" s="17"/>
      <c r="AO38" s="17"/>
      <c r="AP38" s="17"/>
      <c r="AQ38" s="17"/>
      <c r="AR38" s="14"/>
      <c r="AS38" s="17"/>
      <c r="AT38" s="12"/>
      <c r="AU38" s="17"/>
      <c r="AV38" s="17"/>
      <c r="AW38" s="17"/>
      <c r="AX38" s="17"/>
      <c r="AY38" s="17"/>
      <c r="AZ38" s="17"/>
      <c r="BA38" s="17"/>
      <c r="BB38" s="17"/>
      <c r="BC38" s="14"/>
      <c r="BD38" s="17"/>
      <c r="BE38" s="12"/>
      <c r="BF38" s="17"/>
      <c r="BG38" s="17"/>
      <c r="BH38" s="17"/>
      <c r="BI38" s="17"/>
      <c r="BJ38" s="17"/>
      <c r="BK38" s="17"/>
      <c r="BL38" s="17"/>
      <c r="BM38" s="17"/>
      <c r="BN38" s="69"/>
    </row>
    <row r="39" spans="2:66" s="18" customFormat="1" ht="9.9499999999999993" customHeight="1" x14ac:dyDescent="0.25">
      <c r="B39" s="70"/>
      <c r="C39" s="17"/>
      <c r="D39" s="17"/>
      <c r="E39" s="17"/>
      <c r="F39" s="17"/>
      <c r="G39" s="17"/>
      <c r="H39" s="17"/>
      <c r="I39" s="17"/>
      <c r="J39" s="17"/>
      <c r="K39" s="14"/>
      <c r="L39" s="17"/>
      <c r="M39" s="12"/>
      <c r="N39" s="17"/>
      <c r="O39" s="17"/>
      <c r="P39" s="17"/>
      <c r="Q39" s="17"/>
      <c r="R39" s="17"/>
      <c r="S39" s="17"/>
      <c r="T39" s="17"/>
      <c r="U39" s="17"/>
      <c r="V39" s="14"/>
      <c r="W39" s="17"/>
      <c r="X39" s="12"/>
      <c r="Y39" s="17"/>
      <c r="Z39" s="17"/>
      <c r="AA39" s="17"/>
      <c r="AB39" s="17"/>
      <c r="AC39" s="17"/>
      <c r="AD39" s="17"/>
      <c r="AE39" s="17"/>
      <c r="AF39" s="17"/>
      <c r="AG39" s="14"/>
      <c r="AH39" s="17"/>
      <c r="AI39" s="12"/>
      <c r="AJ39" s="17"/>
      <c r="AK39" s="17"/>
      <c r="AL39" s="17"/>
      <c r="AM39" s="17"/>
      <c r="AN39" s="17"/>
      <c r="AO39" s="17"/>
      <c r="AP39" s="17"/>
      <c r="AQ39" s="17"/>
      <c r="AR39" s="14"/>
      <c r="AS39" s="17"/>
      <c r="AT39" s="12"/>
      <c r="AU39" s="17"/>
      <c r="AV39" s="17"/>
      <c r="AW39" s="17"/>
      <c r="AX39" s="17"/>
      <c r="AY39" s="17"/>
      <c r="AZ39" s="17"/>
      <c r="BA39" s="17"/>
      <c r="BB39" s="17"/>
      <c r="BC39" s="14"/>
      <c r="BD39" s="17"/>
      <c r="BE39" s="12"/>
      <c r="BF39" s="17"/>
      <c r="BG39" s="17"/>
      <c r="BH39" s="17"/>
      <c r="BI39" s="17"/>
      <c r="BJ39" s="17"/>
      <c r="BK39" s="17"/>
      <c r="BL39" s="17"/>
      <c r="BM39" s="17"/>
      <c r="BN39" s="69"/>
    </row>
    <row r="40" spans="2:66" s="18" customFormat="1" ht="9.9499999999999993" customHeight="1" x14ac:dyDescent="0.25">
      <c r="B40" s="70"/>
      <c r="C40" s="17"/>
      <c r="D40" s="17"/>
      <c r="E40" s="17"/>
      <c r="F40" s="17"/>
      <c r="G40" s="17"/>
      <c r="H40" s="17"/>
      <c r="I40" s="17"/>
      <c r="J40" s="17"/>
      <c r="K40" s="14"/>
      <c r="L40" s="17"/>
      <c r="M40" s="12"/>
      <c r="N40" s="17"/>
      <c r="O40" s="17"/>
      <c r="P40" s="17"/>
      <c r="Q40" s="17"/>
      <c r="R40" s="17"/>
      <c r="S40" s="17"/>
      <c r="T40" s="17"/>
      <c r="U40" s="17"/>
      <c r="V40" s="14"/>
      <c r="W40" s="17"/>
      <c r="X40" s="12"/>
      <c r="Y40" s="17"/>
      <c r="Z40" s="17"/>
      <c r="AA40" s="17"/>
      <c r="AB40" s="17"/>
      <c r="AC40" s="17"/>
      <c r="AD40" s="17"/>
      <c r="AE40" s="17"/>
      <c r="AF40" s="17"/>
      <c r="AG40" s="14"/>
      <c r="AH40" s="17"/>
      <c r="AI40" s="12"/>
      <c r="AJ40" s="17"/>
      <c r="AK40" s="17"/>
      <c r="AL40" s="17"/>
      <c r="AM40" s="17"/>
      <c r="AN40" s="17"/>
      <c r="AO40" s="17"/>
      <c r="AP40" s="17"/>
      <c r="AQ40" s="17"/>
      <c r="AR40" s="14"/>
      <c r="AS40" s="17"/>
      <c r="AT40" s="12"/>
      <c r="AU40" s="17"/>
      <c r="AV40" s="17"/>
      <c r="AW40" s="17"/>
      <c r="AX40" s="17"/>
      <c r="AY40" s="17"/>
      <c r="AZ40" s="17"/>
      <c r="BA40" s="17"/>
      <c r="BB40" s="17"/>
      <c r="BC40" s="14"/>
      <c r="BD40" s="17"/>
      <c r="BE40" s="12"/>
      <c r="BF40" s="17"/>
      <c r="BG40" s="17"/>
      <c r="BH40" s="17"/>
      <c r="BI40" s="17"/>
      <c r="BJ40" s="17"/>
      <c r="BK40" s="17"/>
      <c r="BL40" s="17"/>
      <c r="BM40" s="17"/>
      <c r="BN40" s="69"/>
    </row>
    <row r="41" spans="2:66" s="18" customFormat="1" ht="9.9499999999999993" customHeight="1" x14ac:dyDescent="0.25">
      <c r="B41" s="70"/>
      <c r="C41" s="17"/>
      <c r="D41" s="17"/>
      <c r="E41" s="17"/>
      <c r="F41" s="17"/>
      <c r="G41" s="17"/>
      <c r="H41" s="17"/>
      <c r="I41" s="17"/>
      <c r="J41" s="17"/>
      <c r="K41" s="14"/>
      <c r="L41" s="17"/>
      <c r="M41" s="12"/>
      <c r="N41" s="17"/>
      <c r="O41" s="17"/>
      <c r="P41" s="17"/>
      <c r="Q41" s="17"/>
      <c r="R41" s="17"/>
      <c r="S41" s="17"/>
      <c r="T41" s="17"/>
      <c r="U41" s="17"/>
      <c r="V41" s="14"/>
      <c r="W41" s="17"/>
      <c r="X41" s="12"/>
      <c r="Y41" s="17"/>
      <c r="Z41" s="17"/>
      <c r="AA41" s="17"/>
      <c r="AB41" s="17"/>
      <c r="AC41" s="17"/>
      <c r="AD41" s="17"/>
      <c r="AE41" s="17"/>
      <c r="AF41" s="17"/>
      <c r="AG41" s="14"/>
      <c r="AH41" s="17"/>
      <c r="AI41" s="12"/>
      <c r="AJ41" s="17"/>
      <c r="AK41" s="17"/>
      <c r="AL41" s="17"/>
      <c r="AM41" s="17"/>
      <c r="AN41" s="17"/>
      <c r="AO41" s="17"/>
      <c r="AP41" s="17"/>
      <c r="AQ41" s="17"/>
      <c r="AR41" s="14"/>
      <c r="AS41" s="17"/>
      <c r="AT41" s="12"/>
      <c r="AU41" s="17"/>
      <c r="AV41" s="17"/>
      <c r="AW41" s="17"/>
      <c r="AX41" s="17"/>
      <c r="AY41" s="17"/>
      <c r="AZ41" s="17"/>
      <c r="BA41" s="17"/>
      <c r="BB41" s="17"/>
      <c r="BC41" s="14"/>
      <c r="BD41" s="17"/>
      <c r="BE41" s="12"/>
      <c r="BF41" s="17"/>
      <c r="BG41" s="17"/>
      <c r="BH41" s="17"/>
      <c r="BI41" s="17"/>
      <c r="BJ41" s="17"/>
      <c r="BK41" s="17"/>
      <c r="BL41" s="17"/>
      <c r="BM41" s="17"/>
      <c r="BN41" s="69"/>
    </row>
    <row r="42" spans="2:66" s="18" customFormat="1" ht="21.75" customHeight="1" x14ac:dyDescent="0.25">
      <c r="B42" s="70"/>
      <c r="C42" s="17"/>
      <c r="D42" s="17"/>
      <c r="E42" s="17"/>
      <c r="F42" s="17"/>
      <c r="G42" s="17"/>
      <c r="H42" s="17"/>
      <c r="I42" s="17"/>
      <c r="J42" s="17"/>
      <c r="K42" s="14"/>
      <c r="L42" s="17"/>
      <c r="M42" s="12"/>
      <c r="N42" s="17"/>
      <c r="O42" s="17"/>
      <c r="P42" s="17"/>
      <c r="Q42" s="17"/>
      <c r="R42" s="17"/>
      <c r="S42" s="17"/>
      <c r="T42" s="17"/>
      <c r="U42" s="17"/>
      <c r="V42" s="14"/>
      <c r="W42" s="17"/>
      <c r="X42" s="12"/>
      <c r="Y42" s="17"/>
      <c r="Z42" s="17"/>
      <c r="AA42" s="17"/>
      <c r="AB42" s="17"/>
      <c r="AC42" s="17"/>
      <c r="AD42" s="17"/>
      <c r="AE42" s="17"/>
      <c r="AF42" s="17"/>
      <c r="AG42" s="14"/>
      <c r="AH42" s="17"/>
      <c r="AI42" s="12"/>
      <c r="AJ42" s="17"/>
      <c r="AK42" s="17"/>
      <c r="AL42" s="17"/>
      <c r="AM42" s="17"/>
      <c r="AN42" s="17"/>
      <c r="AO42" s="17"/>
      <c r="AP42" s="17"/>
      <c r="AQ42" s="17"/>
      <c r="AR42" s="14"/>
      <c r="AS42" s="17"/>
      <c r="AT42" s="12"/>
      <c r="AU42" s="17"/>
      <c r="AV42" s="17"/>
      <c r="AW42" s="17"/>
      <c r="AX42" s="17"/>
      <c r="AY42" s="17"/>
      <c r="AZ42" s="17"/>
      <c r="BA42" s="17"/>
      <c r="BB42" s="17"/>
      <c r="BC42" s="14"/>
      <c r="BD42" s="17"/>
      <c r="BE42" s="12"/>
      <c r="BF42" s="17"/>
      <c r="BG42" s="17"/>
      <c r="BH42" s="17"/>
      <c r="BI42" s="17"/>
      <c r="BJ42" s="17"/>
      <c r="BK42" s="17"/>
      <c r="BL42" s="17"/>
      <c r="BM42" s="17"/>
      <c r="BN42" s="69"/>
    </row>
    <row r="43" spans="2:66" s="18" customFormat="1" ht="9.9499999999999993" customHeight="1" x14ac:dyDescent="0.25">
      <c r="B43" s="416" t="s">
        <v>35</v>
      </c>
      <c r="C43" s="413"/>
      <c r="D43" s="413"/>
      <c r="E43" s="413"/>
      <c r="F43" s="413"/>
      <c r="G43" s="413"/>
      <c r="H43" s="413"/>
      <c r="I43" s="413"/>
      <c r="J43" s="413"/>
      <c r="K43" s="417"/>
      <c r="L43" s="17"/>
      <c r="M43" s="421" t="s">
        <v>42</v>
      </c>
      <c r="N43" s="413"/>
      <c r="O43" s="413"/>
      <c r="P43" s="413"/>
      <c r="Q43" s="413"/>
      <c r="R43" s="413"/>
      <c r="S43" s="413"/>
      <c r="T43" s="413"/>
      <c r="U43" s="413"/>
      <c r="V43" s="417"/>
      <c r="W43" s="17"/>
      <c r="X43" s="421" t="s">
        <v>37</v>
      </c>
      <c r="Y43" s="413"/>
      <c r="Z43" s="413"/>
      <c r="AA43" s="413"/>
      <c r="AB43" s="413"/>
      <c r="AC43" s="413"/>
      <c r="AD43" s="413"/>
      <c r="AE43" s="413"/>
      <c r="AF43" s="413"/>
      <c r="AG43" s="417"/>
      <c r="AH43" s="17"/>
      <c r="AI43" s="421" t="s">
        <v>43</v>
      </c>
      <c r="AJ43" s="413"/>
      <c r="AK43" s="413"/>
      <c r="AL43" s="413"/>
      <c r="AM43" s="413"/>
      <c r="AN43" s="413"/>
      <c r="AO43" s="413"/>
      <c r="AP43" s="413"/>
      <c r="AQ43" s="413"/>
      <c r="AR43" s="417"/>
      <c r="AS43" s="17"/>
      <c r="AT43" s="421" t="s">
        <v>35</v>
      </c>
      <c r="AU43" s="413"/>
      <c r="AV43" s="413"/>
      <c r="AW43" s="413"/>
      <c r="AX43" s="413"/>
      <c r="AY43" s="413"/>
      <c r="AZ43" s="413"/>
      <c r="BA43" s="413"/>
      <c r="BB43" s="413"/>
      <c r="BC43" s="417"/>
      <c r="BD43" s="17"/>
      <c r="BE43" s="421" t="s">
        <v>42</v>
      </c>
      <c r="BF43" s="413"/>
      <c r="BG43" s="413"/>
      <c r="BH43" s="413"/>
      <c r="BI43" s="413"/>
      <c r="BJ43" s="413"/>
      <c r="BK43" s="413"/>
      <c r="BL43" s="413"/>
      <c r="BM43" s="413"/>
      <c r="BN43" s="414"/>
    </row>
    <row r="44" spans="2:66" s="18" customFormat="1" ht="9.9499999999999993" customHeight="1" x14ac:dyDescent="0.25">
      <c r="B44" s="409"/>
      <c r="C44" s="409"/>
      <c r="D44" s="409"/>
      <c r="E44" s="409"/>
      <c r="F44" s="409"/>
      <c r="G44" s="409"/>
      <c r="H44" s="409">
        <f>CEILING(3990*B3,1)</f>
        <v>7980</v>
      </c>
      <c r="I44" s="409"/>
      <c r="J44" s="409"/>
      <c r="K44" s="409"/>
      <c r="L44" s="19"/>
      <c r="M44" s="409"/>
      <c r="N44" s="409"/>
      <c r="O44" s="409"/>
      <c r="P44" s="409"/>
      <c r="Q44" s="409"/>
      <c r="R44" s="409"/>
      <c r="S44" s="409">
        <f>CEILING(4326*B3,1)</f>
        <v>8652</v>
      </c>
      <c r="T44" s="409"/>
      <c r="U44" s="409"/>
      <c r="V44" s="409"/>
      <c r="W44" s="19"/>
      <c r="X44" s="409"/>
      <c r="Y44" s="409"/>
      <c r="Z44" s="409"/>
      <c r="AA44" s="409"/>
      <c r="AB44" s="409"/>
      <c r="AC44" s="409"/>
      <c r="AD44" s="409">
        <f>CEILING(3953*B3,1)</f>
        <v>7906</v>
      </c>
      <c r="AE44" s="409"/>
      <c r="AF44" s="409"/>
      <c r="AG44" s="409"/>
      <c r="AH44" s="19"/>
      <c r="AI44" s="409"/>
      <c r="AJ44" s="409"/>
      <c r="AK44" s="409"/>
      <c r="AL44" s="409"/>
      <c r="AM44" s="409"/>
      <c r="AN44" s="409"/>
      <c r="AO44" s="409">
        <f>CEILING(4203*B3,1)</f>
        <v>8406</v>
      </c>
      <c r="AP44" s="409"/>
      <c r="AQ44" s="409"/>
      <c r="AR44" s="409"/>
      <c r="AS44" s="19"/>
      <c r="AT44" s="409"/>
      <c r="AU44" s="409"/>
      <c r="AV44" s="409"/>
      <c r="AW44" s="409"/>
      <c r="AX44" s="409"/>
      <c r="AY44" s="409"/>
      <c r="AZ44" s="409">
        <f>CEILING(4819*B3,1)</f>
        <v>9638</v>
      </c>
      <c r="BA44" s="409"/>
      <c r="BB44" s="409"/>
      <c r="BC44" s="409"/>
      <c r="BD44" s="19"/>
      <c r="BE44" s="409"/>
      <c r="BF44" s="409"/>
      <c r="BG44" s="409"/>
      <c r="BH44" s="409"/>
      <c r="BI44" s="409"/>
      <c r="BJ44" s="409"/>
      <c r="BK44" s="409">
        <f>CEILING(5156*B3,1)</f>
        <v>10312</v>
      </c>
      <c r="BL44" s="409"/>
      <c r="BM44" s="409"/>
      <c r="BN44" s="409"/>
    </row>
    <row r="45" spans="2:66" s="18" customFormat="1" ht="0.2" customHeight="1" x14ac:dyDescent="0.25">
      <c r="B45" s="70"/>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69"/>
    </row>
    <row r="46" spans="2:66" s="18" customFormat="1" ht="9.9499999999999993" customHeight="1" x14ac:dyDescent="0.25">
      <c r="B46" s="429" t="s">
        <v>44</v>
      </c>
      <c r="C46" s="424"/>
      <c r="D46" s="425"/>
      <c r="E46" s="426" t="s">
        <v>5</v>
      </c>
      <c r="F46" s="427"/>
      <c r="G46" s="427"/>
      <c r="H46" s="427"/>
      <c r="I46" s="427"/>
      <c r="J46" s="427"/>
      <c r="K46" s="428"/>
      <c r="L46" s="17"/>
      <c r="M46" s="423" t="s">
        <v>45</v>
      </c>
      <c r="N46" s="424"/>
      <c r="O46" s="425"/>
      <c r="P46" s="426" t="s">
        <v>46</v>
      </c>
      <c r="Q46" s="427"/>
      <c r="R46" s="427"/>
      <c r="S46" s="427"/>
      <c r="T46" s="427"/>
      <c r="U46" s="427"/>
      <c r="V46" s="428"/>
      <c r="W46" s="17"/>
      <c r="X46" s="423" t="s">
        <v>47</v>
      </c>
      <c r="Y46" s="424"/>
      <c r="Z46" s="425"/>
      <c r="AA46" s="426" t="s">
        <v>48</v>
      </c>
      <c r="AB46" s="427"/>
      <c r="AC46" s="427"/>
      <c r="AD46" s="427"/>
      <c r="AE46" s="427"/>
      <c r="AF46" s="427"/>
      <c r="AG46" s="428"/>
      <c r="AH46" s="17"/>
      <c r="AI46" s="423" t="s">
        <v>49</v>
      </c>
      <c r="AJ46" s="424"/>
      <c r="AK46" s="425"/>
      <c r="AL46" s="426" t="s">
        <v>48</v>
      </c>
      <c r="AM46" s="427"/>
      <c r="AN46" s="427"/>
      <c r="AO46" s="427"/>
      <c r="AP46" s="427"/>
      <c r="AQ46" s="427"/>
      <c r="AR46" s="428"/>
      <c r="AS46" s="17"/>
      <c r="AT46" s="423" t="s">
        <v>50</v>
      </c>
      <c r="AU46" s="424"/>
      <c r="AV46" s="425"/>
      <c r="AW46" s="426" t="s">
        <v>51</v>
      </c>
      <c r="AX46" s="427"/>
      <c r="AY46" s="427"/>
      <c r="AZ46" s="427"/>
      <c r="BA46" s="427"/>
      <c r="BB46" s="427"/>
      <c r="BC46" s="428"/>
      <c r="BD46" s="17"/>
      <c r="BE46" s="423" t="s">
        <v>52</v>
      </c>
      <c r="BF46" s="424"/>
      <c r="BG46" s="425"/>
      <c r="BH46" s="426" t="s">
        <v>53</v>
      </c>
      <c r="BI46" s="427"/>
      <c r="BJ46" s="427"/>
      <c r="BK46" s="427"/>
      <c r="BL46" s="427"/>
      <c r="BM46" s="427"/>
      <c r="BN46" s="432"/>
    </row>
    <row r="47" spans="2:66" s="18" customFormat="1" ht="9.9499999999999993" customHeight="1" x14ac:dyDescent="0.25">
      <c r="B47" s="416" t="s">
        <v>54</v>
      </c>
      <c r="C47" s="413"/>
      <c r="D47" s="413"/>
      <c r="E47" s="413"/>
      <c r="F47" s="413"/>
      <c r="G47" s="413"/>
      <c r="H47" s="413"/>
      <c r="I47" s="413"/>
      <c r="J47" s="413"/>
      <c r="K47" s="417"/>
      <c r="L47" s="17"/>
      <c r="M47" s="421" t="s">
        <v>55</v>
      </c>
      <c r="N47" s="413"/>
      <c r="O47" s="413"/>
      <c r="P47" s="413"/>
      <c r="Q47" s="413"/>
      <c r="R47" s="413"/>
      <c r="S47" s="413"/>
      <c r="T47" s="413"/>
      <c r="U47" s="413"/>
      <c r="V47" s="417"/>
      <c r="W47" s="17"/>
      <c r="X47" s="12"/>
      <c r="Y47" s="17"/>
      <c r="Z47" s="17"/>
      <c r="AA47" s="17"/>
      <c r="AB47" s="17"/>
      <c r="AC47" s="17"/>
      <c r="AD47" s="17"/>
      <c r="AE47" s="17"/>
      <c r="AF47" s="17"/>
      <c r="AG47" s="14"/>
      <c r="AH47" s="17"/>
      <c r="AI47" s="12"/>
      <c r="AJ47" s="17"/>
      <c r="AK47" s="17"/>
      <c r="AL47" s="17"/>
      <c r="AM47" s="17"/>
      <c r="AN47" s="17"/>
      <c r="AO47" s="17"/>
      <c r="AP47" s="17"/>
      <c r="AQ47" s="17"/>
      <c r="AR47" s="14"/>
      <c r="AS47" s="17"/>
      <c r="AT47" s="421" t="s">
        <v>56</v>
      </c>
      <c r="AU47" s="413"/>
      <c r="AV47" s="413"/>
      <c r="AW47" s="413"/>
      <c r="AX47" s="413"/>
      <c r="AY47" s="413"/>
      <c r="AZ47" s="413"/>
      <c r="BA47" s="413"/>
      <c r="BB47" s="413"/>
      <c r="BC47" s="417"/>
      <c r="BD47" s="17"/>
      <c r="BE47" s="421" t="s">
        <v>56</v>
      </c>
      <c r="BF47" s="413"/>
      <c r="BG47" s="413"/>
      <c r="BH47" s="413"/>
      <c r="BI47" s="413"/>
      <c r="BJ47" s="413"/>
      <c r="BK47" s="413"/>
      <c r="BL47" s="413"/>
      <c r="BM47" s="413"/>
      <c r="BN47" s="414"/>
    </row>
    <row r="48" spans="2:66" s="18" customFormat="1" ht="9.9499999999999993" customHeight="1" x14ac:dyDescent="0.25">
      <c r="B48" s="416" t="s">
        <v>57</v>
      </c>
      <c r="C48" s="413"/>
      <c r="D48" s="413"/>
      <c r="E48" s="413"/>
      <c r="F48" s="413"/>
      <c r="G48" s="413"/>
      <c r="H48" s="413"/>
      <c r="I48" s="413"/>
      <c r="J48" s="413"/>
      <c r="K48" s="417"/>
      <c r="L48" s="17"/>
      <c r="M48" s="12"/>
      <c r="N48" s="17"/>
      <c r="O48" s="17"/>
      <c r="P48" s="17"/>
      <c r="Q48" s="17"/>
      <c r="R48" s="17"/>
      <c r="S48" s="17"/>
      <c r="T48" s="17"/>
      <c r="U48" s="17"/>
      <c r="V48" s="14"/>
      <c r="W48" s="17"/>
      <c r="X48" s="12"/>
      <c r="Y48" s="17"/>
      <c r="Z48" s="17"/>
      <c r="AA48" s="17"/>
      <c r="AB48" s="17"/>
      <c r="AC48" s="17"/>
      <c r="AD48" s="17"/>
      <c r="AE48" s="17"/>
      <c r="AF48" s="17"/>
      <c r="AG48" s="14"/>
      <c r="AH48" s="17"/>
      <c r="AI48" s="12"/>
      <c r="AJ48" s="17"/>
      <c r="AK48" s="17"/>
      <c r="AL48" s="17"/>
      <c r="AM48" s="17"/>
      <c r="AN48" s="17"/>
      <c r="AO48" s="17"/>
      <c r="AP48" s="17"/>
      <c r="AQ48" s="17"/>
      <c r="AR48" s="14"/>
      <c r="AS48" s="17"/>
      <c r="AT48" s="12"/>
      <c r="AU48" s="17"/>
      <c r="AV48" s="17"/>
      <c r="AW48" s="17"/>
      <c r="AX48" s="17"/>
      <c r="AY48" s="17"/>
      <c r="AZ48" s="17"/>
      <c r="BA48" s="17"/>
      <c r="BB48" s="17"/>
      <c r="BC48" s="14"/>
      <c r="BD48" s="17"/>
      <c r="BE48" s="12"/>
      <c r="BF48" s="17"/>
      <c r="BG48" s="17"/>
      <c r="BH48" s="17"/>
      <c r="BI48" s="17"/>
      <c r="BJ48" s="17"/>
      <c r="BK48" s="17"/>
      <c r="BL48" s="17"/>
      <c r="BM48" s="17"/>
      <c r="BN48" s="69"/>
    </row>
    <row r="49" spans="2:66" s="18" customFormat="1" ht="9.9499999999999993" customHeight="1" x14ac:dyDescent="0.25">
      <c r="B49" s="70"/>
      <c r="C49" s="17"/>
      <c r="D49" s="17"/>
      <c r="E49" s="17"/>
      <c r="F49" s="17"/>
      <c r="G49" s="17"/>
      <c r="H49" s="17"/>
      <c r="I49" s="17"/>
      <c r="J49" s="17"/>
      <c r="K49" s="14"/>
      <c r="L49" s="17"/>
      <c r="M49" s="12"/>
      <c r="N49" s="17"/>
      <c r="O49" s="17"/>
      <c r="P49" s="17"/>
      <c r="Q49" s="17"/>
      <c r="R49" s="17"/>
      <c r="S49" s="17"/>
      <c r="T49" s="17"/>
      <c r="U49" s="17"/>
      <c r="V49" s="14"/>
      <c r="W49" s="17"/>
      <c r="X49" s="12"/>
      <c r="Y49" s="17"/>
      <c r="Z49" s="17"/>
      <c r="AA49" s="17"/>
      <c r="AB49" s="17"/>
      <c r="AC49" s="17"/>
      <c r="AD49" s="17"/>
      <c r="AE49" s="17"/>
      <c r="AF49" s="17"/>
      <c r="AG49" s="14"/>
      <c r="AH49" s="17"/>
      <c r="AI49" s="12"/>
      <c r="AJ49" s="17"/>
      <c r="AK49" s="17"/>
      <c r="AL49" s="17"/>
      <c r="AM49" s="17"/>
      <c r="AN49" s="17"/>
      <c r="AO49" s="17"/>
      <c r="AP49" s="17"/>
      <c r="AQ49" s="17"/>
      <c r="AR49" s="14"/>
      <c r="AS49" s="17"/>
      <c r="AT49" s="12"/>
      <c r="AU49" s="17"/>
      <c r="AV49" s="17"/>
      <c r="AW49" s="17"/>
      <c r="AX49" s="17"/>
      <c r="AY49" s="17"/>
      <c r="AZ49" s="17"/>
      <c r="BA49" s="17"/>
      <c r="BB49" s="17"/>
      <c r="BC49" s="14"/>
      <c r="BD49" s="17"/>
      <c r="BE49" s="12"/>
      <c r="BF49" s="17"/>
      <c r="BG49" s="17"/>
      <c r="BH49" s="17"/>
      <c r="BI49" s="17"/>
      <c r="BJ49" s="17"/>
      <c r="BK49" s="17"/>
      <c r="BL49" s="17"/>
      <c r="BM49" s="17"/>
      <c r="BN49" s="69"/>
    </row>
    <row r="50" spans="2:66" s="18" customFormat="1" ht="9.9499999999999993" customHeight="1" x14ac:dyDescent="0.25">
      <c r="B50" s="70"/>
      <c r="C50" s="17"/>
      <c r="D50" s="17"/>
      <c r="E50" s="17"/>
      <c r="F50" s="17"/>
      <c r="G50" s="17"/>
      <c r="H50" s="17"/>
      <c r="I50" s="17"/>
      <c r="J50" s="17"/>
      <c r="K50" s="14"/>
      <c r="L50" s="17"/>
      <c r="M50" s="12"/>
      <c r="N50" s="17"/>
      <c r="O50" s="17"/>
      <c r="P50" s="17"/>
      <c r="Q50" s="17"/>
      <c r="R50" s="17"/>
      <c r="S50" s="17"/>
      <c r="T50" s="17"/>
      <c r="U50" s="17"/>
      <c r="V50" s="14"/>
      <c r="W50" s="17"/>
      <c r="X50" s="12"/>
      <c r="Y50" s="17"/>
      <c r="Z50" s="17"/>
      <c r="AA50" s="17"/>
      <c r="AB50" s="17"/>
      <c r="AC50" s="17"/>
      <c r="AD50" s="17"/>
      <c r="AE50" s="17"/>
      <c r="AF50" s="17"/>
      <c r="AG50" s="14"/>
      <c r="AH50" s="17"/>
      <c r="AI50" s="12"/>
      <c r="AJ50" s="17"/>
      <c r="AK50" s="17"/>
      <c r="AL50" s="17"/>
      <c r="AM50" s="17"/>
      <c r="AN50" s="17"/>
      <c r="AO50" s="17"/>
      <c r="AP50" s="17"/>
      <c r="AQ50" s="17"/>
      <c r="AR50" s="14"/>
      <c r="AS50" s="17"/>
      <c r="AT50" s="12"/>
      <c r="AU50" s="17"/>
      <c r="AV50" s="17"/>
      <c r="AW50" s="17"/>
      <c r="AX50" s="17"/>
      <c r="AY50" s="17"/>
      <c r="AZ50" s="17"/>
      <c r="BA50" s="17"/>
      <c r="BB50" s="17"/>
      <c r="BC50" s="14"/>
      <c r="BD50" s="17"/>
      <c r="BE50" s="12"/>
      <c r="BF50" s="17"/>
      <c r="BG50" s="17"/>
      <c r="BH50" s="17"/>
      <c r="BI50" s="17"/>
      <c r="BJ50" s="17"/>
      <c r="BK50" s="17"/>
      <c r="BL50" s="17"/>
      <c r="BM50" s="17"/>
      <c r="BN50" s="69"/>
    </row>
    <row r="51" spans="2:66" s="18" customFormat="1" ht="9.9499999999999993" customHeight="1" x14ac:dyDescent="0.25">
      <c r="B51" s="70"/>
      <c r="C51" s="17"/>
      <c r="D51" s="17"/>
      <c r="E51" s="17"/>
      <c r="F51" s="17"/>
      <c r="G51" s="17"/>
      <c r="H51" s="17"/>
      <c r="I51" s="17"/>
      <c r="J51" s="17"/>
      <c r="K51" s="14"/>
      <c r="L51" s="17"/>
      <c r="M51" s="12"/>
      <c r="N51" s="17"/>
      <c r="O51" s="17"/>
      <c r="P51" s="17"/>
      <c r="Q51" s="17"/>
      <c r="R51" s="17"/>
      <c r="S51" s="17"/>
      <c r="T51" s="17"/>
      <c r="U51" s="17"/>
      <c r="V51" s="14"/>
      <c r="W51" s="17"/>
      <c r="X51" s="12"/>
      <c r="Y51" s="17"/>
      <c r="Z51" s="17"/>
      <c r="AA51" s="17"/>
      <c r="AB51" s="17"/>
      <c r="AC51" s="17"/>
      <c r="AD51" s="17"/>
      <c r="AE51" s="17"/>
      <c r="AF51" s="17"/>
      <c r="AG51" s="14"/>
      <c r="AH51" s="17"/>
      <c r="AI51" s="12"/>
      <c r="AJ51" s="17"/>
      <c r="AK51" s="17"/>
      <c r="AL51" s="17"/>
      <c r="AM51" s="17"/>
      <c r="AN51" s="17"/>
      <c r="AO51" s="17"/>
      <c r="AP51" s="17"/>
      <c r="AQ51" s="17"/>
      <c r="AR51" s="14"/>
      <c r="AS51" s="17"/>
      <c r="AT51" s="12"/>
      <c r="AU51" s="17"/>
      <c r="AV51" s="17"/>
      <c r="AW51" s="17"/>
      <c r="AX51" s="17"/>
      <c r="AY51" s="17"/>
      <c r="AZ51" s="17"/>
      <c r="BA51" s="17"/>
      <c r="BB51" s="17"/>
      <c r="BC51" s="14"/>
      <c r="BD51" s="17"/>
      <c r="BE51" s="12"/>
      <c r="BF51" s="17"/>
      <c r="BG51" s="17"/>
      <c r="BH51" s="17"/>
      <c r="BI51" s="17"/>
      <c r="BJ51" s="17"/>
      <c r="BK51" s="17"/>
      <c r="BL51" s="17"/>
      <c r="BM51" s="17"/>
      <c r="BN51" s="69"/>
    </row>
    <row r="52" spans="2:66" s="18" customFormat="1" ht="9.9499999999999993" customHeight="1" x14ac:dyDescent="0.25">
      <c r="B52" s="70"/>
      <c r="C52" s="17"/>
      <c r="D52" s="17"/>
      <c r="E52" s="17"/>
      <c r="F52" s="17"/>
      <c r="G52" s="17"/>
      <c r="H52" s="17"/>
      <c r="I52" s="17"/>
      <c r="J52" s="17"/>
      <c r="K52" s="14"/>
      <c r="L52" s="17"/>
      <c r="M52" s="12"/>
      <c r="N52" s="17"/>
      <c r="O52" s="17"/>
      <c r="P52" s="17"/>
      <c r="Q52" s="17"/>
      <c r="R52" s="17"/>
      <c r="S52" s="17"/>
      <c r="T52" s="17"/>
      <c r="U52" s="17"/>
      <c r="V52" s="14"/>
      <c r="W52" s="17"/>
      <c r="X52" s="12"/>
      <c r="Y52" s="17"/>
      <c r="Z52" s="17"/>
      <c r="AA52" s="17"/>
      <c r="AB52" s="17"/>
      <c r="AC52" s="17"/>
      <c r="AD52" s="17"/>
      <c r="AE52" s="17"/>
      <c r="AF52" s="17"/>
      <c r="AG52" s="14"/>
      <c r="AH52" s="17"/>
      <c r="AI52" s="12"/>
      <c r="AJ52" s="17"/>
      <c r="AK52" s="17"/>
      <c r="AL52" s="17"/>
      <c r="AM52" s="17"/>
      <c r="AN52" s="17"/>
      <c r="AO52" s="17"/>
      <c r="AP52" s="17"/>
      <c r="AQ52" s="17"/>
      <c r="AR52" s="14"/>
      <c r="AS52" s="17"/>
      <c r="AT52" s="12"/>
      <c r="AU52" s="17"/>
      <c r="AV52" s="17"/>
      <c r="AW52" s="17"/>
      <c r="AX52" s="17"/>
      <c r="AY52" s="17"/>
      <c r="AZ52" s="17"/>
      <c r="BA52" s="17"/>
      <c r="BB52" s="17"/>
      <c r="BC52" s="14"/>
      <c r="BD52" s="17"/>
      <c r="BE52" s="12"/>
      <c r="BF52" s="17"/>
      <c r="BG52" s="17"/>
      <c r="BH52" s="17"/>
      <c r="BI52" s="17"/>
      <c r="BJ52" s="17"/>
      <c r="BK52" s="17"/>
      <c r="BL52" s="17"/>
      <c r="BM52" s="17"/>
      <c r="BN52" s="69"/>
    </row>
    <row r="53" spans="2:66" s="18" customFormat="1" ht="9.9499999999999993" customHeight="1" x14ac:dyDescent="0.25">
      <c r="B53" s="70"/>
      <c r="C53" s="17"/>
      <c r="D53" s="17"/>
      <c r="E53" s="17"/>
      <c r="F53" s="17"/>
      <c r="G53" s="17"/>
      <c r="H53" s="17"/>
      <c r="I53" s="17"/>
      <c r="J53" s="17"/>
      <c r="K53" s="14"/>
      <c r="L53" s="17"/>
      <c r="M53" s="12"/>
      <c r="N53" s="17"/>
      <c r="O53" s="17"/>
      <c r="P53" s="17"/>
      <c r="Q53" s="17"/>
      <c r="R53" s="17"/>
      <c r="S53" s="17"/>
      <c r="T53" s="17"/>
      <c r="U53" s="17"/>
      <c r="V53" s="14"/>
      <c r="W53" s="17"/>
      <c r="X53" s="12"/>
      <c r="Y53" s="17"/>
      <c r="Z53" s="17"/>
      <c r="AA53" s="17"/>
      <c r="AB53" s="17"/>
      <c r="AC53" s="17"/>
      <c r="AD53" s="17"/>
      <c r="AE53" s="17"/>
      <c r="AF53" s="17"/>
      <c r="AG53" s="14"/>
      <c r="AH53" s="17"/>
      <c r="AI53" s="12"/>
      <c r="AJ53" s="17"/>
      <c r="AK53" s="17"/>
      <c r="AL53" s="17"/>
      <c r="AM53" s="17"/>
      <c r="AN53" s="17"/>
      <c r="AO53" s="17"/>
      <c r="AP53" s="17"/>
      <c r="AQ53" s="17"/>
      <c r="AR53" s="14"/>
      <c r="AS53" s="17"/>
      <c r="AT53" s="12"/>
      <c r="AU53" s="17"/>
      <c r="AV53" s="17"/>
      <c r="AW53" s="17"/>
      <c r="AX53" s="17"/>
      <c r="AY53" s="17"/>
      <c r="AZ53" s="17"/>
      <c r="BA53" s="17"/>
      <c r="BB53" s="17"/>
      <c r="BC53" s="14"/>
      <c r="BD53" s="17"/>
      <c r="BE53" s="12"/>
      <c r="BF53" s="17"/>
      <c r="BG53" s="17"/>
      <c r="BH53" s="17"/>
      <c r="BI53" s="17"/>
      <c r="BJ53" s="17"/>
      <c r="BK53" s="17"/>
      <c r="BL53" s="17"/>
      <c r="BM53" s="17"/>
      <c r="BN53" s="69"/>
    </row>
    <row r="54" spans="2:66" s="18" customFormat="1" ht="9.9499999999999993" customHeight="1" x14ac:dyDescent="0.25">
      <c r="B54" s="70"/>
      <c r="C54" s="17"/>
      <c r="D54" s="17"/>
      <c r="E54" s="17"/>
      <c r="F54" s="17"/>
      <c r="G54" s="17"/>
      <c r="H54" s="17"/>
      <c r="I54" s="17"/>
      <c r="J54" s="17"/>
      <c r="K54" s="14"/>
      <c r="L54" s="17"/>
      <c r="M54" s="12"/>
      <c r="N54" s="17"/>
      <c r="O54" s="17"/>
      <c r="P54" s="17"/>
      <c r="Q54" s="17"/>
      <c r="R54" s="17"/>
      <c r="S54" s="17"/>
      <c r="T54" s="17"/>
      <c r="U54" s="17"/>
      <c r="V54" s="14"/>
      <c r="W54" s="17"/>
      <c r="X54" s="12"/>
      <c r="Y54" s="17"/>
      <c r="Z54" s="17"/>
      <c r="AA54" s="17"/>
      <c r="AB54" s="17"/>
      <c r="AC54" s="17"/>
      <c r="AD54" s="17"/>
      <c r="AE54" s="17"/>
      <c r="AF54" s="17"/>
      <c r="AG54" s="14"/>
      <c r="AH54" s="17"/>
      <c r="AI54" s="12"/>
      <c r="AJ54" s="17"/>
      <c r="AK54" s="17"/>
      <c r="AL54" s="17"/>
      <c r="AM54" s="17"/>
      <c r="AN54" s="17"/>
      <c r="AO54" s="17"/>
      <c r="AP54" s="17"/>
      <c r="AQ54" s="17"/>
      <c r="AR54" s="14"/>
      <c r="AS54" s="17"/>
      <c r="AT54" s="12"/>
      <c r="AU54" s="17"/>
      <c r="AV54" s="17"/>
      <c r="AW54" s="17"/>
      <c r="AX54" s="17"/>
      <c r="AY54" s="17"/>
      <c r="AZ54" s="17"/>
      <c r="BA54" s="17"/>
      <c r="BB54" s="17"/>
      <c r="BC54" s="14"/>
      <c r="BD54" s="17"/>
      <c r="BE54" s="12"/>
      <c r="BF54" s="17"/>
      <c r="BG54" s="17"/>
      <c r="BH54" s="17"/>
      <c r="BI54" s="17"/>
      <c r="BJ54" s="17"/>
      <c r="BK54" s="17"/>
      <c r="BL54" s="17"/>
      <c r="BM54" s="17"/>
      <c r="BN54" s="69"/>
    </row>
    <row r="55" spans="2:66" s="18" customFormat="1" ht="9.9499999999999993" customHeight="1" x14ac:dyDescent="0.25">
      <c r="B55" s="70"/>
      <c r="C55" s="17"/>
      <c r="D55" s="17"/>
      <c r="E55" s="17"/>
      <c r="F55" s="17"/>
      <c r="G55" s="17"/>
      <c r="H55" s="17"/>
      <c r="I55" s="17"/>
      <c r="J55" s="17"/>
      <c r="K55" s="14"/>
      <c r="L55" s="17"/>
      <c r="M55" s="12"/>
      <c r="N55" s="17"/>
      <c r="O55" s="17"/>
      <c r="P55" s="17"/>
      <c r="Q55" s="17"/>
      <c r="R55" s="17"/>
      <c r="S55" s="17"/>
      <c r="T55" s="17"/>
      <c r="U55" s="17"/>
      <c r="V55" s="14"/>
      <c r="W55" s="17"/>
      <c r="X55" s="12"/>
      <c r="Y55" s="17"/>
      <c r="Z55" s="17"/>
      <c r="AA55" s="17"/>
      <c r="AB55" s="17"/>
      <c r="AC55" s="17"/>
      <c r="AD55" s="17"/>
      <c r="AE55" s="17"/>
      <c r="AF55" s="17"/>
      <c r="AG55" s="14"/>
      <c r="AH55" s="17"/>
      <c r="AI55" s="12"/>
      <c r="AJ55" s="17"/>
      <c r="AK55" s="17"/>
      <c r="AL55" s="17"/>
      <c r="AM55" s="17"/>
      <c r="AN55" s="17"/>
      <c r="AO55" s="17"/>
      <c r="AP55" s="17"/>
      <c r="AQ55" s="17"/>
      <c r="AR55" s="14"/>
      <c r="AS55" s="17"/>
      <c r="AT55" s="12"/>
      <c r="AU55" s="17"/>
      <c r="AV55" s="17"/>
      <c r="AW55" s="17"/>
      <c r="AX55" s="17"/>
      <c r="AY55" s="17"/>
      <c r="AZ55" s="17"/>
      <c r="BA55" s="17"/>
      <c r="BB55" s="17"/>
      <c r="BC55" s="14"/>
      <c r="BD55" s="17"/>
      <c r="BE55" s="12"/>
      <c r="BF55" s="17"/>
      <c r="BG55" s="17"/>
      <c r="BH55" s="17"/>
      <c r="BI55" s="17"/>
      <c r="BJ55" s="17"/>
      <c r="BK55" s="17"/>
      <c r="BL55" s="17"/>
      <c r="BM55" s="17"/>
      <c r="BN55" s="69"/>
    </row>
    <row r="56" spans="2:66" s="18" customFormat="1" ht="9.9499999999999993" customHeight="1" x14ac:dyDescent="0.25">
      <c r="B56" s="70"/>
      <c r="C56" s="17"/>
      <c r="D56" s="17"/>
      <c r="E56" s="17"/>
      <c r="F56" s="17"/>
      <c r="G56" s="17"/>
      <c r="H56" s="17"/>
      <c r="I56" s="17"/>
      <c r="J56" s="17"/>
      <c r="K56" s="14"/>
      <c r="L56" s="17"/>
      <c r="M56" s="12"/>
      <c r="N56" s="17"/>
      <c r="O56" s="17"/>
      <c r="P56" s="17"/>
      <c r="Q56" s="17"/>
      <c r="R56" s="17"/>
      <c r="S56" s="17"/>
      <c r="T56" s="17"/>
      <c r="U56" s="17"/>
      <c r="V56" s="14"/>
      <c r="W56" s="17"/>
      <c r="X56" s="12"/>
      <c r="Y56" s="17"/>
      <c r="Z56" s="17"/>
      <c r="AA56" s="17"/>
      <c r="AB56" s="17"/>
      <c r="AC56" s="17"/>
      <c r="AD56" s="17"/>
      <c r="AE56" s="17"/>
      <c r="AF56" s="17"/>
      <c r="AG56" s="14"/>
      <c r="AH56" s="17"/>
      <c r="AI56" s="12"/>
      <c r="AJ56" s="17"/>
      <c r="AK56" s="17"/>
      <c r="AL56" s="17"/>
      <c r="AM56" s="17"/>
      <c r="AN56" s="17"/>
      <c r="AO56" s="17"/>
      <c r="AP56" s="17"/>
      <c r="AQ56" s="17"/>
      <c r="AR56" s="14"/>
      <c r="AS56" s="17"/>
      <c r="AT56" s="12"/>
      <c r="AU56" s="17"/>
      <c r="AV56" s="17"/>
      <c r="AW56" s="17"/>
      <c r="AX56" s="17"/>
      <c r="AY56" s="17"/>
      <c r="AZ56" s="17"/>
      <c r="BA56" s="17"/>
      <c r="BB56" s="17"/>
      <c r="BC56" s="14"/>
      <c r="BD56" s="17"/>
      <c r="BE56" s="12"/>
      <c r="BF56" s="17"/>
      <c r="BG56" s="17"/>
      <c r="BH56" s="17"/>
      <c r="BI56" s="17"/>
      <c r="BJ56" s="17"/>
      <c r="BK56" s="17"/>
      <c r="BL56" s="17"/>
      <c r="BM56" s="17"/>
      <c r="BN56" s="69"/>
    </row>
    <row r="57" spans="2:66" s="18" customFormat="1" ht="9.9499999999999993" customHeight="1" x14ac:dyDescent="0.25">
      <c r="B57" s="416" t="s">
        <v>58</v>
      </c>
      <c r="C57" s="413"/>
      <c r="D57" s="413"/>
      <c r="E57" s="413"/>
      <c r="F57" s="413"/>
      <c r="G57" s="413"/>
      <c r="H57" s="413"/>
      <c r="I57" s="413"/>
      <c r="J57" s="413"/>
      <c r="K57" s="417"/>
      <c r="L57" s="17"/>
      <c r="M57" s="421" t="s">
        <v>59</v>
      </c>
      <c r="N57" s="413"/>
      <c r="O57" s="413"/>
      <c r="P57" s="413"/>
      <c r="Q57" s="413"/>
      <c r="R57" s="417"/>
      <c r="S57" s="431" t="s">
        <v>60</v>
      </c>
      <c r="T57" s="427"/>
      <c r="U57" s="427" t="s">
        <v>61</v>
      </c>
      <c r="V57" s="428"/>
      <c r="W57" s="17"/>
      <c r="X57" s="421" t="s">
        <v>37</v>
      </c>
      <c r="Y57" s="413"/>
      <c r="Z57" s="413"/>
      <c r="AA57" s="413"/>
      <c r="AB57" s="413"/>
      <c r="AC57" s="413"/>
      <c r="AD57" s="413"/>
      <c r="AE57" s="413"/>
      <c r="AF57" s="413"/>
      <c r="AG57" s="417"/>
      <c r="AH57" s="17"/>
      <c r="AI57" s="421" t="s">
        <v>37</v>
      </c>
      <c r="AJ57" s="413"/>
      <c r="AK57" s="413"/>
      <c r="AL57" s="413"/>
      <c r="AM57" s="413"/>
      <c r="AN57" s="413"/>
      <c r="AO57" s="413"/>
      <c r="AP57" s="413"/>
      <c r="AQ57" s="413"/>
      <c r="AR57" s="417"/>
      <c r="AS57" s="17"/>
      <c r="AT57" s="421" t="s">
        <v>37</v>
      </c>
      <c r="AU57" s="413"/>
      <c r="AV57" s="413"/>
      <c r="AW57" s="413"/>
      <c r="AX57" s="413"/>
      <c r="AY57" s="413"/>
      <c r="AZ57" s="413"/>
      <c r="BA57" s="413"/>
      <c r="BB57" s="413"/>
      <c r="BC57" s="417"/>
      <c r="BD57" s="17"/>
      <c r="BE57" s="421" t="s">
        <v>62</v>
      </c>
      <c r="BF57" s="413"/>
      <c r="BG57" s="413"/>
      <c r="BH57" s="413"/>
      <c r="BI57" s="413"/>
      <c r="BJ57" s="413"/>
      <c r="BK57" s="413"/>
      <c r="BL57" s="413"/>
      <c r="BM57" s="413"/>
      <c r="BN57" s="414"/>
    </row>
    <row r="58" spans="2:66" s="18" customFormat="1" ht="9.9499999999999993" customHeight="1" x14ac:dyDescent="0.25">
      <c r="B58" s="409" t="s">
        <v>63</v>
      </c>
      <c r="C58" s="409"/>
      <c r="D58" s="409"/>
      <c r="E58" s="409"/>
      <c r="F58" s="409"/>
      <c r="G58" s="409"/>
      <c r="H58" s="409">
        <f>CEILING(7359*B3,1)</f>
        <v>14718</v>
      </c>
      <c r="I58" s="409"/>
      <c r="J58" s="409"/>
      <c r="K58" s="409"/>
      <c r="L58" s="19"/>
      <c r="M58" s="409" t="s">
        <v>63</v>
      </c>
      <c r="N58" s="409"/>
      <c r="O58" s="409"/>
      <c r="P58" s="409"/>
      <c r="Q58" s="409"/>
      <c r="R58" s="409"/>
      <c r="S58" s="409">
        <f>CEILING(2485*B3,1)</f>
        <v>4970</v>
      </c>
      <c r="T58" s="409"/>
      <c r="U58" s="409">
        <f>CEILING(3519*B3,1)</f>
        <v>7038</v>
      </c>
      <c r="V58" s="409"/>
      <c r="W58" s="19"/>
      <c r="X58" s="409" t="s">
        <v>64</v>
      </c>
      <c r="Y58" s="409"/>
      <c r="Z58" s="409"/>
      <c r="AA58" s="409"/>
      <c r="AB58" s="409"/>
      <c r="AC58" s="409"/>
      <c r="AD58" s="409">
        <f>CEILING(1980*B3,1)</f>
        <v>3960</v>
      </c>
      <c r="AE58" s="409"/>
      <c r="AF58" s="409"/>
      <c r="AG58" s="409"/>
      <c r="AH58" s="19"/>
      <c r="AI58" s="409" t="s">
        <v>64</v>
      </c>
      <c r="AJ58" s="409"/>
      <c r="AK58" s="409"/>
      <c r="AL58" s="409"/>
      <c r="AM58" s="409"/>
      <c r="AN58" s="409"/>
      <c r="AO58" s="409">
        <f>CEILING(2365*B3,1)</f>
        <v>4730</v>
      </c>
      <c r="AP58" s="409"/>
      <c r="AQ58" s="409"/>
      <c r="AR58" s="409"/>
      <c r="AS58" s="19"/>
      <c r="AT58" s="409" t="s">
        <v>21</v>
      </c>
      <c r="AU58" s="409"/>
      <c r="AV58" s="409"/>
      <c r="AW58" s="409"/>
      <c r="AX58" s="409"/>
      <c r="AY58" s="409"/>
      <c r="AZ58" s="409">
        <f>CEILING(2295*B3,1)</f>
        <v>4590</v>
      </c>
      <c r="BA58" s="409"/>
      <c r="BB58" s="409"/>
      <c r="BC58" s="410"/>
      <c r="BD58" s="19"/>
      <c r="BE58" s="430" t="s">
        <v>22</v>
      </c>
      <c r="BF58" s="409"/>
      <c r="BG58" s="409"/>
      <c r="BH58" s="409"/>
      <c r="BI58" s="409"/>
      <c r="BJ58" s="409"/>
      <c r="BK58" s="409">
        <f>CEILING(3197*B3,1)</f>
        <v>6394</v>
      </c>
      <c r="BL58" s="409"/>
      <c r="BM58" s="409"/>
      <c r="BN58" s="409"/>
    </row>
    <row r="59" spans="2:66" s="18" customFormat="1" ht="0.2" customHeight="1" x14ac:dyDescent="0.25">
      <c r="B59" s="70"/>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31"/>
      <c r="BE59" s="17"/>
      <c r="BF59" s="17"/>
      <c r="BG59" s="17"/>
      <c r="BH59" s="17"/>
      <c r="BI59" s="17"/>
      <c r="BJ59" s="17"/>
      <c r="BK59" s="17"/>
      <c r="BL59" s="17"/>
      <c r="BM59" s="17"/>
      <c r="BN59" s="69"/>
    </row>
    <row r="60" spans="2:66" s="18" customFormat="1" ht="9.9499999999999993" customHeight="1" x14ac:dyDescent="0.25">
      <c r="B60" s="429" t="s">
        <v>65</v>
      </c>
      <c r="C60" s="424"/>
      <c r="D60" s="425"/>
      <c r="E60" s="426" t="s">
        <v>5</v>
      </c>
      <c r="F60" s="427"/>
      <c r="G60" s="427"/>
      <c r="H60" s="427"/>
      <c r="I60" s="427"/>
      <c r="J60" s="427"/>
      <c r="K60" s="428"/>
      <c r="L60" s="17"/>
      <c r="M60" s="423" t="s">
        <v>66</v>
      </c>
      <c r="N60" s="424"/>
      <c r="O60" s="425"/>
      <c r="P60" s="426" t="s">
        <v>67</v>
      </c>
      <c r="Q60" s="427"/>
      <c r="R60" s="427"/>
      <c r="S60" s="427"/>
      <c r="T60" s="427"/>
      <c r="U60" s="427"/>
      <c r="V60" s="428"/>
      <c r="W60" s="17"/>
      <c r="X60" s="423" t="s">
        <v>68</v>
      </c>
      <c r="Y60" s="424"/>
      <c r="Z60" s="425"/>
      <c r="AA60" s="426" t="s">
        <v>270</v>
      </c>
      <c r="AB60" s="427"/>
      <c r="AC60" s="427"/>
      <c r="AD60" s="427"/>
      <c r="AE60" s="427"/>
      <c r="AF60" s="427"/>
      <c r="AG60" s="428"/>
      <c r="AH60" s="17"/>
      <c r="AI60" s="423" t="s">
        <v>70</v>
      </c>
      <c r="AJ60" s="424"/>
      <c r="AK60" s="425"/>
      <c r="AL60" s="426" t="s">
        <v>69</v>
      </c>
      <c r="AM60" s="427"/>
      <c r="AN60" s="427"/>
      <c r="AO60" s="427"/>
      <c r="AP60" s="427"/>
      <c r="AQ60" s="427"/>
      <c r="AR60" s="428"/>
      <c r="AS60" s="17"/>
      <c r="AT60" s="423" t="s">
        <v>71</v>
      </c>
      <c r="AU60" s="424"/>
      <c r="AV60" s="425"/>
      <c r="AW60" s="426" t="s">
        <v>69</v>
      </c>
      <c r="AX60" s="427"/>
      <c r="AY60" s="427"/>
      <c r="AZ60" s="427"/>
      <c r="BA60" s="427"/>
      <c r="BB60" s="427"/>
      <c r="BC60" s="427"/>
      <c r="BD60" s="31"/>
      <c r="BE60" s="413"/>
      <c r="BF60" s="413"/>
      <c r="BG60" s="413"/>
      <c r="BH60" s="413"/>
      <c r="BI60" s="413"/>
      <c r="BJ60" s="413"/>
      <c r="BK60" s="413"/>
      <c r="BL60" s="413"/>
      <c r="BM60" s="413"/>
      <c r="BN60" s="414"/>
    </row>
    <row r="61" spans="2:66" s="18" customFormat="1" ht="9.9499999999999993" customHeight="1" x14ac:dyDescent="0.25">
      <c r="B61" s="416" t="s">
        <v>74</v>
      </c>
      <c r="C61" s="413"/>
      <c r="D61" s="413"/>
      <c r="E61" s="413"/>
      <c r="F61" s="413"/>
      <c r="G61" s="413"/>
      <c r="H61" s="413"/>
      <c r="I61" s="413"/>
      <c r="J61" s="413"/>
      <c r="K61" s="417"/>
      <c r="L61" s="17"/>
      <c r="M61" s="12"/>
      <c r="N61" s="17"/>
      <c r="O61" s="17"/>
      <c r="P61" s="17"/>
      <c r="Q61" s="17"/>
      <c r="R61" s="17"/>
      <c r="S61" s="17"/>
      <c r="T61" s="17"/>
      <c r="U61" s="17"/>
      <c r="V61" s="14"/>
      <c r="W61" s="17"/>
      <c r="X61" s="12" t="s">
        <v>31</v>
      </c>
      <c r="Y61" s="17"/>
      <c r="Z61" s="17"/>
      <c r="AA61" s="17"/>
      <c r="AB61" s="17"/>
      <c r="AC61" s="17"/>
      <c r="AD61" s="17"/>
      <c r="AE61" s="17"/>
      <c r="AF61" s="17"/>
      <c r="AG61" s="14"/>
      <c r="AH61" s="17"/>
      <c r="AI61" s="418" t="s">
        <v>14</v>
      </c>
      <c r="AJ61" s="419"/>
      <c r="AK61" s="419"/>
      <c r="AL61" s="419"/>
      <c r="AM61" s="419"/>
      <c r="AN61" s="419"/>
      <c r="AO61" s="419"/>
      <c r="AP61" s="419"/>
      <c r="AQ61" s="419"/>
      <c r="AR61" s="420"/>
      <c r="AS61" s="17"/>
      <c r="AT61" s="421" t="s">
        <v>75</v>
      </c>
      <c r="AU61" s="413"/>
      <c r="AV61" s="413"/>
      <c r="AW61" s="413"/>
      <c r="AX61" s="17"/>
      <c r="AY61" s="17"/>
      <c r="AZ61" s="422"/>
      <c r="BA61" s="422"/>
      <c r="BB61" s="422"/>
      <c r="BC61" s="422"/>
      <c r="BD61" s="31"/>
      <c r="BE61" s="17"/>
      <c r="BF61" s="17"/>
      <c r="BG61" s="17"/>
      <c r="BH61" s="17"/>
      <c r="BI61" s="17"/>
      <c r="BJ61" s="17"/>
      <c r="BK61" s="17"/>
      <c r="BL61" s="17"/>
      <c r="BM61" s="17"/>
      <c r="BN61" s="69"/>
    </row>
    <row r="62" spans="2:66" s="18" customFormat="1" ht="9.9499999999999993" customHeight="1" x14ac:dyDescent="0.25">
      <c r="B62" s="70"/>
      <c r="C62" s="17"/>
      <c r="D62" s="17"/>
      <c r="E62" s="17"/>
      <c r="F62" s="17"/>
      <c r="G62" s="17"/>
      <c r="H62" s="17"/>
      <c r="I62" s="17"/>
      <c r="J62" s="17"/>
      <c r="K62" s="14"/>
      <c r="L62" s="17"/>
      <c r="M62" s="12"/>
      <c r="N62" s="17"/>
      <c r="O62" s="17"/>
      <c r="P62" s="17"/>
      <c r="Q62" s="17"/>
      <c r="R62" s="17"/>
      <c r="S62" s="17"/>
      <c r="T62" s="17"/>
      <c r="U62" s="17"/>
      <c r="V62" s="14"/>
      <c r="W62" s="17"/>
      <c r="X62" s="12"/>
      <c r="Y62" s="17"/>
      <c r="Z62" s="17"/>
      <c r="AA62" s="17"/>
      <c r="AB62" s="17"/>
      <c r="AC62" s="17"/>
      <c r="AD62" s="17"/>
      <c r="AE62" s="17"/>
      <c r="AF62" s="17"/>
      <c r="AG62" s="14"/>
      <c r="AH62" s="17"/>
      <c r="AI62" s="418"/>
      <c r="AJ62" s="419"/>
      <c r="AK62" s="419"/>
      <c r="AL62" s="419"/>
      <c r="AM62" s="419"/>
      <c r="AN62" s="419"/>
      <c r="AO62" s="419"/>
      <c r="AP62" s="419"/>
      <c r="AQ62" s="419"/>
      <c r="AR62" s="420"/>
      <c r="AS62" s="17"/>
      <c r="AT62" s="12"/>
      <c r="AU62" s="17"/>
      <c r="AV62" s="17"/>
      <c r="AW62" s="17"/>
      <c r="AX62" s="17"/>
      <c r="AY62" s="17"/>
      <c r="AZ62" s="17"/>
      <c r="BA62" s="17"/>
      <c r="BB62" s="17"/>
      <c r="BC62" s="17"/>
      <c r="BD62" s="31"/>
      <c r="BE62" s="17"/>
      <c r="BF62" s="17"/>
      <c r="BG62" s="17"/>
      <c r="BH62" s="17"/>
      <c r="BI62" s="17"/>
      <c r="BJ62" s="17"/>
      <c r="BK62" s="17"/>
      <c r="BL62" s="17"/>
      <c r="BM62" s="17"/>
      <c r="BN62" s="69"/>
    </row>
    <row r="63" spans="2:66" s="18" customFormat="1" ht="9.9499999999999993" customHeight="1" x14ac:dyDescent="0.25">
      <c r="B63" s="70"/>
      <c r="C63" s="17"/>
      <c r="D63" s="17"/>
      <c r="E63" s="17"/>
      <c r="F63" s="17"/>
      <c r="G63" s="17"/>
      <c r="H63" s="17"/>
      <c r="I63" s="17"/>
      <c r="J63" s="17"/>
      <c r="K63" s="14"/>
      <c r="L63" s="17"/>
      <c r="M63" s="12"/>
      <c r="N63" s="17"/>
      <c r="O63" s="17"/>
      <c r="P63" s="17"/>
      <c r="Q63" s="17"/>
      <c r="R63" s="17"/>
      <c r="S63" s="17"/>
      <c r="T63" s="17"/>
      <c r="U63" s="17"/>
      <c r="V63" s="14"/>
      <c r="W63" s="17"/>
      <c r="X63" s="12"/>
      <c r="Y63" s="17"/>
      <c r="Z63" s="17"/>
      <c r="AA63" s="17"/>
      <c r="AB63" s="17"/>
      <c r="AC63" s="17"/>
      <c r="AD63" s="17"/>
      <c r="AE63" s="17"/>
      <c r="AF63" s="17"/>
      <c r="AG63" s="14"/>
      <c r="AH63" s="17"/>
      <c r="AI63" s="12"/>
      <c r="AJ63" s="17"/>
      <c r="AK63" s="17"/>
      <c r="AL63" s="17"/>
      <c r="AM63" s="17"/>
      <c r="AN63" s="17"/>
      <c r="AO63" s="17"/>
      <c r="AP63" s="17"/>
      <c r="AQ63" s="17"/>
      <c r="AR63" s="14"/>
      <c r="AS63" s="17"/>
      <c r="AT63" s="12"/>
      <c r="AU63" s="17"/>
      <c r="AV63" s="17"/>
      <c r="AW63" s="17"/>
      <c r="AX63" s="17"/>
      <c r="AY63" s="17"/>
      <c r="AZ63" s="17"/>
      <c r="BA63" s="17"/>
      <c r="BB63" s="17"/>
      <c r="BC63" s="17"/>
      <c r="BD63" s="31"/>
      <c r="BE63" s="17"/>
      <c r="BF63" s="17"/>
      <c r="BG63" s="17"/>
      <c r="BH63" s="17"/>
      <c r="BI63" s="17"/>
      <c r="BJ63" s="17"/>
      <c r="BK63" s="17"/>
      <c r="BL63" s="17"/>
      <c r="BM63" s="17"/>
      <c r="BN63" s="69"/>
    </row>
    <row r="64" spans="2:66" s="18" customFormat="1" ht="9.9499999999999993" customHeight="1" x14ac:dyDescent="0.25">
      <c r="B64" s="70"/>
      <c r="C64" s="17"/>
      <c r="D64" s="17"/>
      <c r="E64" s="17"/>
      <c r="F64" s="17"/>
      <c r="G64" s="17"/>
      <c r="H64" s="17"/>
      <c r="I64" s="17"/>
      <c r="J64" s="17"/>
      <c r="K64" s="14"/>
      <c r="L64" s="17"/>
      <c r="M64" s="12"/>
      <c r="N64" s="17"/>
      <c r="O64" s="17"/>
      <c r="P64" s="17"/>
      <c r="Q64" s="17"/>
      <c r="R64" s="17"/>
      <c r="S64" s="17"/>
      <c r="T64" s="17"/>
      <c r="U64" s="17"/>
      <c r="V64" s="14"/>
      <c r="W64" s="17"/>
      <c r="X64" s="12"/>
      <c r="Y64" s="17"/>
      <c r="Z64" s="17"/>
      <c r="AA64" s="17"/>
      <c r="AB64" s="17"/>
      <c r="AC64" s="17"/>
      <c r="AD64" s="17"/>
      <c r="AE64" s="17"/>
      <c r="AF64" s="17"/>
      <c r="AG64" s="14"/>
      <c r="AH64" s="17"/>
      <c r="AI64" s="12"/>
      <c r="AJ64" s="17"/>
      <c r="AK64" s="17"/>
      <c r="AL64" s="17"/>
      <c r="AM64" s="17"/>
      <c r="AN64" s="17"/>
      <c r="AO64" s="17"/>
      <c r="AP64" s="17"/>
      <c r="AQ64" s="17"/>
      <c r="AR64" s="14"/>
      <c r="AS64" s="17"/>
      <c r="AT64" s="12"/>
      <c r="AU64" s="17"/>
      <c r="AV64" s="17"/>
      <c r="AW64" s="17"/>
      <c r="AX64" s="17"/>
      <c r="AY64" s="17"/>
      <c r="AZ64" s="17"/>
      <c r="BA64" s="17"/>
      <c r="BB64" s="17"/>
      <c r="BC64" s="17"/>
      <c r="BD64" s="31"/>
      <c r="BE64" s="17"/>
      <c r="BF64" s="17"/>
      <c r="BG64" s="17"/>
      <c r="BH64" s="17"/>
      <c r="BI64" s="17"/>
      <c r="BJ64" s="17"/>
      <c r="BK64" s="17"/>
      <c r="BL64" s="17"/>
      <c r="BM64" s="17"/>
      <c r="BN64" s="69"/>
    </row>
    <row r="65" spans="1:66" s="18" customFormat="1" ht="9.9499999999999993" customHeight="1" x14ac:dyDescent="0.25">
      <c r="B65" s="70"/>
      <c r="C65" s="17"/>
      <c r="D65" s="17"/>
      <c r="E65" s="17"/>
      <c r="F65" s="17"/>
      <c r="G65" s="17"/>
      <c r="H65" s="17"/>
      <c r="I65" s="17"/>
      <c r="J65" s="17"/>
      <c r="K65" s="14"/>
      <c r="L65" s="17"/>
      <c r="M65" s="12"/>
      <c r="N65" s="17"/>
      <c r="O65" s="17"/>
      <c r="P65" s="17"/>
      <c r="Q65" s="17"/>
      <c r="R65" s="17"/>
      <c r="S65" s="17"/>
      <c r="T65" s="17"/>
      <c r="U65" s="17"/>
      <c r="V65" s="14"/>
      <c r="W65" s="17"/>
      <c r="X65" s="12"/>
      <c r="Y65" s="17"/>
      <c r="Z65" s="17"/>
      <c r="AA65" s="17"/>
      <c r="AB65" s="17"/>
      <c r="AC65" s="17"/>
      <c r="AD65" s="17"/>
      <c r="AE65" s="17"/>
      <c r="AF65" s="17"/>
      <c r="AG65" s="14"/>
      <c r="AH65" s="17"/>
      <c r="AI65" s="12"/>
      <c r="AJ65" s="17"/>
      <c r="AK65" s="17"/>
      <c r="AL65" s="17"/>
      <c r="AM65" s="17"/>
      <c r="AN65" s="17"/>
      <c r="AO65" s="17"/>
      <c r="AP65" s="17"/>
      <c r="AQ65" s="17"/>
      <c r="AR65" s="14"/>
      <c r="AS65" s="17"/>
      <c r="AT65" s="12"/>
      <c r="AU65" s="17"/>
      <c r="AV65" s="17"/>
      <c r="AW65" s="17"/>
      <c r="AX65" s="17"/>
      <c r="AY65" s="17"/>
      <c r="AZ65" s="17"/>
      <c r="BA65" s="17"/>
      <c r="BB65" s="17"/>
      <c r="BC65" s="17"/>
      <c r="BD65" s="31"/>
      <c r="BE65" s="17"/>
      <c r="BF65" s="17"/>
      <c r="BG65" s="17"/>
      <c r="BH65" s="17"/>
      <c r="BI65" s="17"/>
      <c r="BJ65" s="17"/>
      <c r="BK65" s="17"/>
      <c r="BL65" s="17"/>
      <c r="BM65" s="17"/>
      <c r="BN65" s="69"/>
    </row>
    <row r="66" spans="1:66" s="18" customFormat="1" ht="9.9499999999999993" customHeight="1" x14ac:dyDescent="0.25">
      <c r="B66" s="70"/>
      <c r="C66" s="17"/>
      <c r="D66" s="17"/>
      <c r="E66" s="17"/>
      <c r="F66" s="17"/>
      <c r="G66" s="17"/>
      <c r="H66" s="17"/>
      <c r="I66" s="17"/>
      <c r="J66" s="17"/>
      <c r="K66" s="14"/>
      <c r="L66" s="17"/>
      <c r="M66" s="12"/>
      <c r="N66" s="17"/>
      <c r="O66" s="17"/>
      <c r="P66" s="17"/>
      <c r="Q66" s="17"/>
      <c r="R66" s="17"/>
      <c r="S66" s="17"/>
      <c r="T66" s="17"/>
      <c r="U66" s="17"/>
      <c r="V66" s="14"/>
      <c r="W66" s="17"/>
      <c r="X66" s="12"/>
      <c r="Y66" s="17"/>
      <c r="Z66" s="17"/>
      <c r="AA66" s="17"/>
      <c r="AB66" s="17"/>
      <c r="AC66" s="17"/>
      <c r="AD66" s="17"/>
      <c r="AE66" s="17"/>
      <c r="AF66" s="17"/>
      <c r="AG66" s="14"/>
      <c r="AH66" s="17"/>
      <c r="AI66" s="12"/>
      <c r="AJ66" s="17"/>
      <c r="AK66" s="17"/>
      <c r="AL66" s="17"/>
      <c r="AM66" s="17"/>
      <c r="AN66" s="17"/>
      <c r="AO66" s="17"/>
      <c r="AP66" s="17"/>
      <c r="AQ66" s="17"/>
      <c r="AR66" s="14"/>
      <c r="AS66" s="17"/>
      <c r="AT66" s="12"/>
      <c r="AU66" s="17"/>
      <c r="AV66" s="17"/>
      <c r="AW66" s="17"/>
      <c r="AX66" s="17"/>
      <c r="AY66" s="17"/>
      <c r="AZ66" s="17"/>
      <c r="BA66" s="17"/>
      <c r="BB66" s="17"/>
      <c r="BC66" s="17"/>
      <c r="BD66" s="31"/>
      <c r="BE66" s="17"/>
      <c r="BF66" s="17"/>
      <c r="BG66" s="17"/>
      <c r="BH66" s="17"/>
      <c r="BI66" s="17"/>
      <c r="BJ66" s="17"/>
      <c r="BK66" s="17"/>
      <c r="BL66" s="17"/>
      <c r="BM66" s="17"/>
      <c r="BN66" s="69"/>
    </row>
    <row r="67" spans="1:66" s="18" customFormat="1" ht="9.9499999999999993" customHeight="1" x14ac:dyDescent="0.25">
      <c r="B67" s="70"/>
      <c r="C67" s="17"/>
      <c r="D67" s="17"/>
      <c r="E67" s="17"/>
      <c r="F67" s="17"/>
      <c r="G67" s="17"/>
      <c r="H67" s="17"/>
      <c r="I67" s="17"/>
      <c r="J67" s="17"/>
      <c r="K67" s="14"/>
      <c r="L67" s="17"/>
      <c r="M67" s="12"/>
      <c r="N67" s="17"/>
      <c r="O67" s="17"/>
      <c r="P67" s="17"/>
      <c r="Q67" s="17"/>
      <c r="R67" s="17"/>
      <c r="S67" s="17"/>
      <c r="T67" s="17"/>
      <c r="U67" s="17"/>
      <c r="V67" s="14"/>
      <c r="W67" s="17"/>
      <c r="X67" s="12"/>
      <c r="Y67" s="17"/>
      <c r="Z67" s="17"/>
      <c r="AA67" s="17"/>
      <c r="AB67" s="17"/>
      <c r="AC67" s="17"/>
      <c r="AD67" s="17"/>
      <c r="AE67" s="17"/>
      <c r="AF67" s="17"/>
      <c r="AG67" s="14"/>
      <c r="AH67" s="17"/>
      <c r="AI67" s="12"/>
      <c r="AJ67" s="17"/>
      <c r="AK67" s="17"/>
      <c r="AL67" s="17"/>
      <c r="AM67" s="17"/>
      <c r="AN67" s="17"/>
      <c r="AO67" s="17"/>
      <c r="AP67" s="17"/>
      <c r="AQ67" s="17"/>
      <c r="AR67" s="14"/>
      <c r="AS67" s="17"/>
      <c r="AT67" s="12"/>
      <c r="AU67" s="17"/>
      <c r="AV67" s="17"/>
      <c r="AW67" s="17"/>
      <c r="AX67" s="17"/>
      <c r="AY67" s="17"/>
      <c r="AZ67" s="17"/>
      <c r="BA67" s="17"/>
      <c r="BB67" s="17"/>
      <c r="BC67" s="17"/>
      <c r="BD67" s="31"/>
      <c r="BE67" s="17"/>
      <c r="BF67" s="17"/>
      <c r="BG67" s="17"/>
      <c r="BH67" s="17"/>
      <c r="BI67" s="17"/>
      <c r="BJ67" s="17"/>
      <c r="BK67" s="17"/>
      <c r="BL67" s="17"/>
      <c r="BM67" s="17"/>
      <c r="BN67" s="69"/>
    </row>
    <row r="68" spans="1:66" s="18" customFormat="1" ht="9.9499999999999993" customHeight="1" x14ac:dyDescent="0.25">
      <c r="B68" s="70"/>
      <c r="C68" s="17"/>
      <c r="D68" s="17"/>
      <c r="E68" s="17"/>
      <c r="F68" s="17"/>
      <c r="G68" s="17"/>
      <c r="H68" s="17"/>
      <c r="I68" s="17"/>
      <c r="J68" s="17"/>
      <c r="K68" s="14"/>
      <c r="L68" s="17"/>
      <c r="M68" s="12"/>
      <c r="N68" s="17"/>
      <c r="O68" s="17"/>
      <c r="P68" s="17"/>
      <c r="Q68" s="17"/>
      <c r="R68" s="17"/>
      <c r="S68" s="17"/>
      <c r="T68" s="17"/>
      <c r="U68" s="17"/>
      <c r="V68" s="14"/>
      <c r="W68" s="17"/>
      <c r="X68" s="12"/>
      <c r="Y68" s="17"/>
      <c r="Z68" s="17"/>
      <c r="AA68" s="17"/>
      <c r="AB68" s="17"/>
      <c r="AC68" s="17"/>
      <c r="AD68" s="17"/>
      <c r="AE68" s="17"/>
      <c r="AF68" s="17"/>
      <c r="AG68" s="14"/>
      <c r="AH68" s="17"/>
      <c r="AI68" s="12"/>
      <c r="AJ68" s="17"/>
      <c r="AK68" s="17"/>
      <c r="AL68" s="17"/>
      <c r="AM68" s="17"/>
      <c r="AN68" s="17"/>
      <c r="AO68" s="17"/>
      <c r="AP68" s="17"/>
      <c r="AQ68" s="17"/>
      <c r="AR68" s="14"/>
      <c r="AS68" s="17"/>
      <c r="AT68" s="12"/>
      <c r="AU68" s="17"/>
      <c r="AV68" s="17"/>
      <c r="AW68" s="17"/>
      <c r="AX68" s="17"/>
      <c r="AY68" s="17"/>
      <c r="AZ68" s="17"/>
      <c r="BA68" s="17"/>
      <c r="BB68" s="17"/>
      <c r="BC68" s="17"/>
      <c r="BD68" s="31"/>
      <c r="BE68" s="17"/>
      <c r="BF68" s="17"/>
      <c r="BG68" s="17"/>
      <c r="BH68" s="17"/>
      <c r="BI68" s="17"/>
      <c r="BJ68" s="17"/>
      <c r="BK68" s="17"/>
      <c r="BL68" s="17"/>
      <c r="BM68" s="17"/>
      <c r="BN68" s="69"/>
    </row>
    <row r="69" spans="1:66" s="18" customFormat="1" ht="9.9499999999999993" customHeight="1" x14ac:dyDescent="0.25">
      <c r="B69" s="70"/>
      <c r="C69" s="17"/>
      <c r="D69" s="17"/>
      <c r="E69" s="17"/>
      <c r="F69" s="17"/>
      <c r="G69" s="17"/>
      <c r="H69" s="17"/>
      <c r="I69" s="17"/>
      <c r="J69" s="17"/>
      <c r="K69" s="14"/>
      <c r="L69" s="17"/>
      <c r="M69" s="12"/>
      <c r="N69" s="17"/>
      <c r="O69" s="17"/>
      <c r="P69" s="17"/>
      <c r="Q69" s="17"/>
      <c r="R69" s="17"/>
      <c r="S69" s="17"/>
      <c r="T69" s="17"/>
      <c r="U69" s="17"/>
      <c r="V69" s="14"/>
      <c r="W69" s="17"/>
      <c r="X69" s="12"/>
      <c r="Y69" s="17"/>
      <c r="Z69" s="17"/>
      <c r="AA69" s="17"/>
      <c r="AB69" s="17"/>
      <c r="AC69" s="17"/>
      <c r="AD69" s="17"/>
      <c r="AE69" s="17"/>
      <c r="AF69" s="17"/>
      <c r="AG69" s="14"/>
      <c r="AH69" s="17"/>
      <c r="AI69" s="12"/>
      <c r="AJ69" s="17"/>
      <c r="AK69" s="17"/>
      <c r="AL69" s="17"/>
      <c r="AM69" s="17"/>
      <c r="AN69" s="17"/>
      <c r="AO69" s="17"/>
      <c r="AP69" s="17"/>
      <c r="AQ69" s="17"/>
      <c r="AR69" s="14"/>
      <c r="AS69" s="17"/>
      <c r="AT69" s="12"/>
      <c r="AU69" s="17"/>
      <c r="AV69" s="17"/>
      <c r="AW69" s="17"/>
      <c r="AX69" s="17"/>
      <c r="AY69" s="17"/>
      <c r="AZ69" s="17"/>
      <c r="BA69" s="17"/>
      <c r="BB69" s="17"/>
      <c r="BC69" s="17"/>
      <c r="BD69" s="31"/>
      <c r="BE69" s="17"/>
      <c r="BF69" s="17"/>
      <c r="BG69" s="17"/>
      <c r="BH69" s="17"/>
      <c r="BI69" s="17"/>
      <c r="BJ69" s="17"/>
      <c r="BK69" s="17"/>
      <c r="BL69" s="17"/>
      <c r="BM69" s="17"/>
      <c r="BN69" s="69"/>
    </row>
    <row r="70" spans="1:66" s="18" customFormat="1" ht="9.9499999999999993" customHeight="1" x14ac:dyDescent="0.25">
      <c r="B70" s="70"/>
      <c r="C70" s="17"/>
      <c r="D70" s="17"/>
      <c r="E70" s="17"/>
      <c r="F70" s="17"/>
      <c r="G70" s="17"/>
      <c r="H70" s="17"/>
      <c r="I70" s="17"/>
      <c r="J70" s="17"/>
      <c r="K70" s="14"/>
      <c r="L70" s="17"/>
      <c r="M70" s="421"/>
      <c r="N70" s="413"/>
      <c r="O70" s="413"/>
      <c r="P70" s="413"/>
      <c r="Q70" s="413"/>
      <c r="R70" s="413"/>
      <c r="S70" s="413"/>
      <c r="T70" s="413"/>
      <c r="U70" s="413"/>
      <c r="V70" s="417"/>
      <c r="W70" s="17"/>
      <c r="X70" s="12"/>
      <c r="Y70" s="17"/>
      <c r="Z70" s="17"/>
      <c r="AA70" s="17"/>
      <c r="AB70" s="17"/>
      <c r="AC70" s="17"/>
      <c r="AD70" s="17"/>
      <c r="AE70" s="17"/>
      <c r="AF70" s="17"/>
      <c r="AG70" s="14"/>
      <c r="AH70" s="17"/>
      <c r="AI70" s="12"/>
      <c r="AJ70" s="17"/>
      <c r="AK70" s="17"/>
      <c r="AL70" s="17"/>
      <c r="AM70" s="17"/>
      <c r="AN70" s="17"/>
      <c r="AO70" s="17"/>
      <c r="AP70" s="17"/>
      <c r="AQ70" s="17"/>
      <c r="AR70" s="14"/>
      <c r="AS70" s="17"/>
      <c r="AT70" s="12"/>
      <c r="AU70" s="17"/>
      <c r="AV70" s="17"/>
      <c r="AW70" s="17"/>
      <c r="AX70" s="17"/>
      <c r="AY70" s="17"/>
      <c r="AZ70" s="17"/>
      <c r="BA70" s="17"/>
      <c r="BB70" s="17"/>
      <c r="BC70" s="17"/>
      <c r="BD70" s="31"/>
      <c r="BE70" s="17"/>
      <c r="BF70" s="17"/>
      <c r="BG70" s="17"/>
      <c r="BH70" s="17"/>
      <c r="BI70" s="17"/>
      <c r="BJ70" s="17"/>
      <c r="BK70" s="17"/>
      <c r="BL70" s="17"/>
      <c r="BM70" s="17"/>
      <c r="BN70" s="69"/>
    </row>
    <row r="71" spans="1:66" s="18" customFormat="1" ht="9.9499999999999993" customHeight="1" x14ac:dyDescent="0.25">
      <c r="B71" s="416" t="s">
        <v>34</v>
      </c>
      <c r="C71" s="413"/>
      <c r="D71" s="413"/>
      <c r="E71" s="413"/>
      <c r="F71" s="413"/>
      <c r="G71" s="413"/>
      <c r="H71" s="413"/>
      <c r="I71" s="413"/>
      <c r="J71" s="413"/>
      <c r="K71" s="417"/>
      <c r="L71" s="17"/>
      <c r="M71" s="421" t="s">
        <v>76</v>
      </c>
      <c r="N71" s="413"/>
      <c r="O71" s="413"/>
      <c r="P71" s="413"/>
      <c r="Q71" s="413"/>
      <c r="R71" s="413"/>
      <c r="S71" s="413"/>
      <c r="T71" s="413"/>
      <c r="U71" s="413"/>
      <c r="V71" s="417"/>
      <c r="W71" s="17"/>
      <c r="X71" s="421" t="s">
        <v>19</v>
      </c>
      <c r="Y71" s="413"/>
      <c r="Z71" s="413"/>
      <c r="AA71" s="413"/>
      <c r="AB71" s="413"/>
      <c r="AC71" s="413"/>
      <c r="AD71" s="413"/>
      <c r="AE71" s="413"/>
      <c r="AF71" s="413"/>
      <c r="AG71" s="417"/>
      <c r="AH71" s="17"/>
      <c r="AI71" s="421" t="s">
        <v>77</v>
      </c>
      <c r="AJ71" s="413"/>
      <c r="AK71" s="413"/>
      <c r="AL71" s="413"/>
      <c r="AM71" s="413"/>
      <c r="AN71" s="413"/>
      <c r="AO71" s="413"/>
      <c r="AP71" s="413"/>
      <c r="AQ71" s="413"/>
      <c r="AR71" s="417"/>
      <c r="AS71" s="17"/>
      <c r="AT71" s="421" t="s">
        <v>19</v>
      </c>
      <c r="AU71" s="413"/>
      <c r="AV71" s="413"/>
      <c r="AW71" s="413"/>
      <c r="AX71" s="413"/>
      <c r="AY71" s="413"/>
      <c r="AZ71" s="413"/>
      <c r="BA71" s="413"/>
      <c r="BB71" s="413"/>
      <c r="BC71" s="413"/>
      <c r="BD71" s="31"/>
      <c r="BE71" s="413"/>
      <c r="BF71" s="413"/>
      <c r="BG71" s="413"/>
      <c r="BH71" s="413"/>
      <c r="BI71" s="413"/>
      <c r="BJ71" s="413"/>
      <c r="BK71" s="413"/>
      <c r="BL71" s="413"/>
      <c r="BM71" s="413"/>
      <c r="BN71" s="414"/>
    </row>
    <row r="72" spans="1:66" s="18" customFormat="1" ht="9.9499999999999993" customHeight="1" x14ac:dyDescent="0.25">
      <c r="B72" s="409" t="s">
        <v>81</v>
      </c>
      <c r="C72" s="409"/>
      <c r="D72" s="409"/>
      <c r="E72" s="409"/>
      <c r="F72" s="409"/>
      <c r="G72" s="409"/>
      <c r="H72" s="409">
        <f>CEILING(1834*B3,1)</f>
        <v>3668</v>
      </c>
      <c r="I72" s="409"/>
      <c r="J72" s="409"/>
      <c r="K72" s="409"/>
      <c r="L72" s="19"/>
      <c r="M72" s="415" t="s">
        <v>82</v>
      </c>
      <c r="N72" s="415"/>
      <c r="O72" s="415"/>
      <c r="P72" s="415"/>
      <c r="Q72" s="415"/>
      <c r="R72" s="415"/>
      <c r="S72" s="409">
        <f>CEILING(3088*B3,1)</f>
        <v>6176</v>
      </c>
      <c r="T72" s="409"/>
      <c r="U72" s="409"/>
      <c r="V72" s="409"/>
      <c r="W72" s="19"/>
      <c r="X72" s="409" t="s">
        <v>83</v>
      </c>
      <c r="Y72" s="409"/>
      <c r="Z72" s="409"/>
      <c r="AA72" s="409"/>
      <c r="AB72" s="409"/>
      <c r="AC72" s="409"/>
      <c r="AD72" s="409">
        <f>CEILING(1230*B3,1)</f>
        <v>2460</v>
      </c>
      <c r="AE72" s="409"/>
      <c r="AF72" s="409"/>
      <c r="AG72" s="409"/>
      <c r="AH72" s="19"/>
      <c r="AI72" s="409" t="s">
        <v>83</v>
      </c>
      <c r="AJ72" s="409"/>
      <c r="AK72" s="409"/>
      <c r="AL72" s="409"/>
      <c r="AM72" s="409"/>
      <c r="AN72" s="409"/>
      <c r="AO72" s="409">
        <f>CEILING(1247*B3,1)</f>
        <v>2494</v>
      </c>
      <c r="AP72" s="409"/>
      <c r="AQ72" s="409"/>
      <c r="AR72" s="409"/>
      <c r="AS72" s="19"/>
      <c r="AT72" s="409"/>
      <c r="AU72" s="409"/>
      <c r="AV72" s="409"/>
      <c r="AW72" s="409"/>
      <c r="AX72" s="409"/>
      <c r="AY72" s="409"/>
      <c r="AZ72" s="409">
        <f>2200*B3</f>
        <v>4400</v>
      </c>
      <c r="BA72" s="409"/>
      <c r="BB72" s="409"/>
      <c r="BC72" s="410"/>
      <c r="BD72" s="19"/>
      <c r="BE72" s="411"/>
      <c r="BF72" s="411"/>
      <c r="BG72" s="411"/>
      <c r="BH72" s="411"/>
      <c r="BI72" s="411"/>
      <c r="BJ72" s="411"/>
      <c r="BK72" s="411"/>
      <c r="BL72" s="411"/>
      <c r="BM72" s="411"/>
      <c r="BN72" s="412"/>
    </row>
    <row r="73" spans="1:66" s="18" customFormat="1" ht="2.1" customHeight="1" x14ac:dyDescent="0.25">
      <c r="B73" s="20"/>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row>
    <row r="74" spans="1:66" s="13" customFormat="1" ht="9" customHeight="1" x14ac:dyDescent="0.25">
      <c r="A74" s="60"/>
      <c r="B74" s="29"/>
      <c r="C74" s="29"/>
      <c r="D74" s="29"/>
      <c r="E74" s="29"/>
      <c r="F74" s="29"/>
      <c r="G74" s="26"/>
      <c r="H74" s="26"/>
      <c r="I74" s="26"/>
      <c r="J74" s="26"/>
      <c r="K74" s="26"/>
      <c r="L74" s="30"/>
      <c r="M74" s="29"/>
      <c r="N74" s="29"/>
      <c r="O74" s="29"/>
      <c r="P74" s="29"/>
      <c r="Q74" s="29"/>
      <c r="R74" s="29"/>
      <c r="S74" s="26"/>
      <c r="T74" s="26"/>
      <c r="U74" s="26"/>
      <c r="V74" s="26"/>
      <c r="W74" s="30"/>
      <c r="X74" s="29"/>
      <c r="Y74" s="29"/>
      <c r="Z74" s="29"/>
      <c r="AA74" s="29"/>
      <c r="AB74" s="29"/>
      <c r="AC74" s="29"/>
      <c r="AD74" s="26"/>
      <c r="AE74" s="26"/>
      <c r="AF74" s="26"/>
      <c r="AG74" s="26"/>
      <c r="AH74" s="30"/>
      <c r="AI74" s="29"/>
      <c r="AJ74" s="29"/>
      <c r="AK74" s="29"/>
      <c r="AL74" s="29"/>
      <c r="AM74" s="29"/>
      <c r="AN74" s="29"/>
      <c r="AO74" s="26"/>
      <c r="AP74" s="26"/>
      <c r="AQ74" s="26"/>
      <c r="AR74" s="26"/>
      <c r="AS74" s="30"/>
      <c r="AT74" s="29"/>
      <c r="AU74" s="29"/>
      <c r="AV74" s="29"/>
      <c r="AW74" s="29"/>
      <c r="AX74" s="29"/>
      <c r="AY74" s="29"/>
      <c r="AZ74" s="26"/>
      <c r="BA74" s="26"/>
      <c r="BB74" s="26"/>
      <c r="BC74" s="26"/>
      <c r="BD74" s="30"/>
      <c r="BE74" s="29"/>
      <c r="BF74" s="29"/>
      <c r="BG74" s="29"/>
      <c r="BH74" s="29"/>
      <c r="BI74" s="29"/>
      <c r="BJ74" s="29"/>
      <c r="BK74" s="26"/>
      <c r="BL74" s="26"/>
      <c r="BM74" s="26"/>
      <c r="BN74" s="27"/>
    </row>
    <row r="75" spans="1:66" s="13" customFormat="1" ht="9" customHeight="1" x14ac:dyDescent="0.25">
      <c r="B75" s="391" t="s">
        <v>243</v>
      </c>
      <c r="C75" s="391"/>
      <c r="D75" s="391"/>
      <c r="E75" s="391"/>
      <c r="F75" s="391"/>
      <c r="G75" s="391"/>
      <c r="H75" s="392">
        <v>1087</v>
      </c>
      <c r="I75" s="393"/>
      <c r="J75" s="393"/>
      <c r="K75" s="394"/>
      <c r="L75" s="61"/>
      <c r="M75" s="391" t="s">
        <v>244</v>
      </c>
      <c r="N75" s="391"/>
      <c r="O75" s="391"/>
      <c r="P75" s="391"/>
      <c r="Q75" s="391"/>
      <c r="R75" s="391"/>
      <c r="S75" s="395">
        <f>609*'Школьная мебель'!B3</f>
        <v>1157.0999999999999</v>
      </c>
      <c r="T75" s="395"/>
      <c r="U75" s="395"/>
      <c r="V75" s="395"/>
      <c r="W75" s="61"/>
      <c r="X75" s="391" t="s">
        <v>245</v>
      </c>
      <c r="Y75" s="391"/>
      <c r="Z75" s="391"/>
      <c r="AA75" s="391"/>
      <c r="AB75" s="391"/>
      <c r="AC75" s="391"/>
      <c r="AD75" s="391"/>
      <c r="AE75" s="391"/>
      <c r="AF75" s="391"/>
      <c r="AG75" s="391"/>
      <c r="AH75" s="391"/>
      <c r="AI75" s="391"/>
      <c r="AJ75" s="391"/>
      <c r="AK75" s="391"/>
      <c r="AL75" s="391"/>
      <c r="AM75" s="391"/>
      <c r="AN75" s="391"/>
      <c r="AO75" s="395" t="s">
        <v>272</v>
      </c>
      <c r="AP75" s="395"/>
      <c r="AQ75" s="395"/>
      <c r="AR75" s="395"/>
      <c r="AS75" s="61"/>
      <c r="AT75" s="391" t="s">
        <v>246</v>
      </c>
      <c r="AU75" s="391"/>
      <c r="AV75" s="391"/>
      <c r="AW75" s="391"/>
      <c r="AX75" s="391"/>
      <c r="AY75" s="391"/>
      <c r="AZ75" s="391"/>
      <c r="BA75" s="391"/>
      <c r="BB75" s="391"/>
      <c r="BC75" s="391"/>
      <c r="BD75" s="391"/>
      <c r="BE75" s="391"/>
      <c r="BF75" s="391"/>
      <c r="BG75" s="391"/>
      <c r="BH75" s="391"/>
      <c r="BI75" s="391"/>
      <c r="BJ75" s="391"/>
      <c r="BK75" s="395">
        <f>636*'Школьная мебель'!B3</f>
        <v>1208.3999999999999</v>
      </c>
      <c r="BL75" s="395"/>
      <c r="BM75" s="395"/>
      <c r="BN75" s="395"/>
    </row>
    <row r="76" spans="1:66" s="13" customFormat="1" ht="9" customHeight="1" x14ac:dyDescent="0.25">
      <c r="B76" s="401" t="s">
        <v>247</v>
      </c>
      <c r="C76" s="402"/>
      <c r="D76" s="402"/>
      <c r="E76" s="402"/>
      <c r="F76" s="402"/>
      <c r="G76" s="402"/>
      <c r="H76" s="402"/>
      <c r="I76" s="402"/>
      <c r="J76" s="402"/>
      <c r="K76" s="402"/>
      <c r="L76" s="402"/>
      <c r="M76" s="402"/>
      <c r="N76" s="402"/>
      <c r="O76" s="402"/>
      <c r="P76" s="402"/>
      <c r="Q76" s="402"/>
      <c r="R76" s="403"/>
      <c r="S76" s="396">
        <f>893*'Школьная мебель'!B3</f>
        <v>1696.6999999999998</v>
      </c>
      <c r="T76" s="397"/>
      <c r="U76" s="397"/>
      <c r="V76" s="398"/>
      <c r="W76" s="62"/>
      <c r="X76" s="399" t="s">
        <v>248</v>
      </c>
      <c r="Y76" s="399"/>
      <c r="Z76" s="399"/>
      <c r="AA76" s="399"/>
      <c r="AB76" s="399"/>
      <c r="AC76" s="399"/>
      <c r="AD76" s="399"/>
      <c r="AE76" s="399"/>
      <c r="AF76" s="399"/>
      <c r="AG76" s="399"/>
      <c r="AH76" s="399"/>
      <c r="AI76" s="399"/>
      <c r="AJ76" s="399"/>
      <c r="AK76" s="399"/>
      <c r="AL76" s="399"/>
      <c r="AM76" s="399"/>
      <c r="AN76" s="399"/>
      <c r="AO76" s="400" t="s">
        <v>273</v>
      </c>
      <c r="AP76" s="400"/>
      <c r="AQ76" s="400"/>
      <c r="AR76" s="400"/>
      <c r="AS76" s="62"/>
      <c r="AT76" s="399" t="s">
        <v>249</v>
      </c>
      <c r="AU76" s="399"/>
      <c r="AV76" s="399"/>
      <c r="AW76" s="399"/>
      <c r="AX76" s="399"/>
      <c r="AY76" s="399"/>
      <c r="AZ76" s="399"/>
      <c r="BA76" s="399"/>
      <c r="BB76" s="399"/>
      <c r="BC76" s="399"/>
      <c r="BD76" s="399"/>
      <c r="BE76" s="399"/>
      <c r="BF76" s="399"/>
      <c r="BG76" s="399"/>
      <c r="BH76" s="399"/>
      <c r="BI76" s="399"/>
      <c r="BJ76" s="399"/>
      <c r="BK76" s="400">
        <f>331*'Школьная мебель'!B3</f>
        <v>628.9</v>
      </c>
      <c r="BL76" s="400"/>
      <c r="BM76" s="400"/>
      <c r="BN76" s="400"/>
    </row>
    <row r="77" spans="1:66" s="13" customFormat="1" ht="9" customHeight="1" x14ac:dyDescent="0.25">
      <c r="B77" s="401" t="s">
        <v>250</v>
      </c>
      <c r="C77" s="402"/>
      <c r="D77" s="402"/>
      <c r="E77" s="402"/>
      <c r="F77" s="402"/>
      <c r="G77" s="402"/>
      <c r="H77" s="402"/>
      <c r="I77" s="402"/>
      <c r="J77" s="402"/>
      <c r="K77" s="402"/>
      <c r="L77" s="402"/>
      <c r="M77" s="402"/>
      <c r="N77" s="402"/>
      <c r="O77" s="402"/>
      <c r="P77" s="402"/>
      <c r="Q77" s="402"/>
      <c r="R77" s="403"/>
      <c r="S77" s="396">
        <f>152*'Школьная мебель'!B3</f>
        <v>288.8</v>
      </c>
      <c r="T77" s="397"/>
      <c r="U77" s="397"/>
      <c r="V77" s="398"/>
      <c r="W77" s="62"/>
      <c r="X77" s="399" t="s">
        <v>251</v>
      </c>
      <c r="Y77" s="399"/>
      <c r="Z77" s="399"/>
      <c r="AA77" s="399"/>
      <c r="AB77" s="399"/>
      <c r="AC77" s="399"/>
      <c r="AD77" s="399"/>
      <c r="AE77" s="399"/>
      <c r="AF77" s="399"/>
      <c r="AG77" s="399"/>
      <c r="AH77" s="399"/>
      <c r="AI77" s="399"/>
      <c r="AJ77" s="399"/>
      <c r="AK77" s="399"/>
      <c r="AL77" s="399"/>
      <c r="AM77" s="399"/>
      <c r="AN77" s="399"/>
      <c r="AO77" s="400">
        <f>380*'Школьная мебель'!B3</f>
        <v>722</v>
      </c>
      <c r="AP77" s="400"/>
      <c r="AQ77" s="400"/>
      <c r="AR77" s="400"/>
      <c r="AS77" s="62"/>
      <c r="AT77" s="399" t="s">
        <v>252</v>
      </c>
      <c r="AU77" s="399"/>
      <c r="AV77" s="399"/>
      <c r="AW77" s="399"/>
      <c r="AX77" s="399"/>
      <c r="AY77" s="399"/>
      <c r="AZ77" s="399"/>
      <c r="BA77" s="399"/>
      <c r="BB77" s="399"/>
      <c r="BC77" s="399"/>
      <c r="BD77" s="399"/>
      <c r="BE77" s="399"/>
      <c r="BF77" s="399"/>
      <c r="BG77" s="399"/>
      <c r="BH77" s="399"/>
      <c r="BI77" s="399"/>
      <c r="BJ77" s="399"/>
      <c r="BK77" s="400">
        <f>147*'Школьная мебель'!B3</f>
        <v>279.3</v>
      </c>
      <c r="BL77" s="400"/>
      <c r="BM77" s="400"/>
      <c r="BN77" s="400"/>
    </row>
    <row r="78" spans="1:66" s="13" customFormat="1" ht="9" customHeight="1" x14ac:dyDescent="0.25">
      <c r="B78" s="401" t="s">
        <v>253</v>
      </c>
      <c r="C78" s="402"/>
      <c r="D78" s="402"/>
      <c r="E78" s="402"/>
      <c r="F78" s="402"/>
      <c r="G78" s="402"/>
      <c r="H78" s="402"/>
      <c r="I78" s="402"/>
      <c r="J78" s="402"/>
      <c r="K78" s="402"/>
      <c r="L78" s="402"/>
      <c r="M78" s="402"/>
      <c r="N78" s="402"/>
      <c r="O78" s="402"/>
      <c r="P78" s="402"/>
      <c r="Q78" s="402"/>
      <c r="R78" s="403"/>
      <c r="S78" s="396">
        <f>347*'Школьная мебель'!B3</f>
        <v>659.3</v>
      </c>
      <c r="T78" s="397"/>
      <c r="U78" s="397"/>
      <c r="V78" s="398"/>
      <c r="W78" s="62"/>
      <c r="X78" s="401" t="s">
        <v>254</v>
      </c>
      <c r="Y78" s="402"/>
      <c r="Z78" s="402"/>
      <c r="AA78" s="402"/>
      <c r="AB78" s="402"/>
      <c r="AC78" s="402"/>
      <c r="AD78" s="402"/>
      <c r="AE78" s="402"/>
      <c r="AF78" s="402"/>
      <c r="AG78" s="402"/>
      <c r="AH78" s="402"/>
      <c r="AI78" s="402"/>
      <c r="AJ78" s="402"/>
      <c r="AK78" s="402"/>
      <c r="AL78" s="402"/>
      <c r="AM78" s="402"/>
      <c r="AN78" s="403"/>
      <c r="AO78" s="400">
        <f>378*'Школьная мебель'!B3</f>
        <v>718.19999999999993</v>
      </c>
      <c r="AP78" s="400"/>
      <c r="AQ78" s="400"/>
      <c r="AR78" s="400"/>
      <c r="AS78" s="62"/>
      <c r="AT78" s="399" t="s">
        <v>255</v>
      </c>
      <c r="AU78" s="399"/>
      <c r="AV78" s="399"/>
      <c r="AW78" s="399"/>
      <c r="AX78" s="399"/>
      <c r="AY78" s="399"/>
      <c r="AZ78" s="399"/>
      <c r="BA78" s="399"/>
      <c r="BB78" s="399"/>
      <c r="BC78" s="399"/>
      <c r="BD78" s="399"/>
      <c r="BE78" s="399"/>
      <c r="BF78" s="399"/>
      <c r="BG78" s="399"/>
      <c r="BH78" s="399"/>
      <c r="BI78" s="399"/>
      <c r="BJ78" s="399"/>
      <c r="BK78" s="400">
        <f>110*'Школьная мебель'!B3</f>
        <v>209</v>
      </c>
      <c r="BL78" s="400"/>
      <c r="BM78" s="400"/>
      <c r="BN78" s="400"/>
    </row>
    <row r="79" spans="1:66" s="13" customFormat="1" ht="9" customHeight="1" x14ac:dyDescent="0.25">
      <c r="B79" s="401" t="s">
        <v>256</v>
      </c>
      <c r="C79" s="402"/>
      <c r="D79" s="402"/>
      <c r="E79" s="402"/>
      <c r="F79" s="402"/>
      <c r="G79" s="402"/>
      <c r="H79" s="402"/>
      <c r="I79" s="402"/>
      <c r="J79" s="402"/>
      <c r="K79" s="402"/>
      <c r="L79" s="402"/>
      <c r="M79" s="402"/>
      <c r="N79" s="402"/>
      <c r="O79" s="402"/>
      <c r="P79" s="402"/>
      <c r="Q79" s="402"/>
      <c r="R79" s="403"/>
      <c r="S79" s="396">
        <f>187*'Школьная мебель'!B3</f>
        <v>355.3</v>
      </c>
      <c r="T79" s="397"/>
      <c r="U79" s="397"/>
      <c r="V79" s="398"/>
      <c r="W79" s="62"/>
      <c r="X79" s="399" t="s">
        <v>257</v>
      </c>
      <c r="Y79" s="399"/>
      <c r="Z79" s="399"/>
      <c r="AA79" s="399"/>
      <c r="AB79" s="399"/>
      <c r="AC79" s="399"/>
      <c r="AD79" s="399"/>
      <c r="AE79" s="399"/>
      <c r="AF79" s="399"/>
      <c r="AG79" s="399"/>
      <c r="AH79" s="399"/>
      <c r="AI79" s="399"/>
      <c r="AJ79" s="399"/>
      <c r="AK79" s="399"/>
      <c r="AL79" s="399"/>
      <c r="AM79" s="399"/>
      <c r="AN79" s="399"/>
      <c r="AO79" s="400">
        <f>245*'Школьная мебель'!B3</f>
        <v>465.5</v>
      </c>
      <c r="AP79" s="400"/>
      <c r="AQ79" s="400"/>
      <c r="AR79" s="400"/>
      <c r="AS79" s="62"/>
      <c r="AT79" s="399" t="s">
        <v>258</v>
      </c>
      <c r="AU79" s="399"/>
      <c r="AV79" s="399"/>
      <c r="AW79" s="399"/>
      <c r="AX79" s="399"/>
      <c r="AY79" s="399"/>
      <c r="AZ79" s="399"/>
      <c r="BA79" s="399"/>
      <c r="BB79" s="399"/>
      <c r="BC79" s="399"/>
      <c r="BD79" s="399"/>
      <c r="BE79" s="399"/>
      <c r="BF79" s="399"/>
      <c r="BG79" s="399"/>
      <c r="BH79" s="399"/>
      <c r="BI79" s="399"/>
      <c r="BJ79" s="399"/>
      <c r="BK79" s="400">
        <f>30*'Школьная мебель'!B3</f>
        <v>57</v>
      </c>
      <c r="BL79" s="400"/>
      <c r="BM79" s="400"/>
      <c r="BN79" s="400"/>
    </row>
    <row r="80" spans="1:66" s="13" customFormat="1" ht="9" customHeight="1" x14ac:dyDescent="0.25">
      <c r="B80" s="401" t="s">
        <v>259</v>
      </c>
      <c r="C80" s="402"/>
      <c r="D80" s="402"/>
      <c r="E80" s="402"/>
      <c r="F80" s="402"/>
      <c r="G80" s="402"/>
      <c r="H80" s="402"/>
      <c r="I80" s="402"/>
      <c r="J80" s="402"/>
      <c r="K80" s="402"/>
      <c r="L80" s="402"/>
      <c r="M80" s="402"/>
      <c r="N80" s="402"/>
      <c r="O80" s="402"/>
      <c r="P80" s="402"/>
      <c r="Q80" s="402"/>
      <c r="R80" s="403"/>
      <c r="S80" s="396">
        <f>425*'Школьная мебель'!B3</f>
        <v>807.5</v>
      </c>
      <c r="T80" s="397"/>
      <c r="U80" s="397"/>
      <c r="V80" s="398"/>
      <c r="W80" s="62"/>
      <c r="X80" s="399" t="s">
        <v>260</v>
      </c>
      <c r="Y80" s="399"/>
      <c r="Z80" s="399"/>
      <c r="AA80" s="399"/>
      <c r="AB80" s="399"/>
      <c r="AC80" s="399"/>
      <c r="AD80" s="399"/>
      <c r="AE80" s="399"/>
      <c r="AF80" s="399"/>
      <c r="AG80" s="399"/>
      <c r="AH80" s="399"/>
      <c r="AI80" s="399"/>
      <c r="AJ80" s="399"/>
      <c r="AK80" s="399"/>
      <c r="AL80" s="399"/>
      <c r="AM80" s="399"/>
      <c r="AN80" s="399"/>
      <c r="AO80" s="400">
        <f>25*'Школьная мебель'!B3</f>
        <v>47.5</v>
      </c>
      <c r="AP80" s="400"/>
      <c r="AQ80" s="400"/>
      <c r="AR80" s="400"/>
      <c r="AS80" s="62"/>
      <c r="AT80" s="399" t="s">
        <v>261</v>
      </c>
      <c r="AU80" s="399"/>
      <c r="AV80" s="399"/>
      <c r="AW80" s="399"/>
      <c r="AX80" s="399"/>
      <c r="AY80" s="399"/>
      <c r="AZ80" s="399"/>
      <c r="BA80" s="399"/>
      <c r="BB80" s="399"/>
      <c r="BC80" s="399"/>
      <c r="BD80" s="399"/>
      <c r="BE80" s="399"/>
      <c r="BF80" s="399"/>
      <c r="BG80" s="399"/>
      <c r="BH80" s="399"/>
      <c r="BI80" s="399"/>
      <c r="BJ80" s="399"/>
      <c r="BK80" s="400">
        <f>15*'Школьная мебель'!B3</f>
        <v>28.5</v>
      </c>
      <c r="BL80" s="400"/>
      <c r="BM80" s="400"/>
      <c r="BN80" s="400"/>
    </row>
    <row r="81" spans="2:71" s="13" customFormat="1" ht="9" customHeight="1" x14ac:dyDescent="0.25">
      <c r="B81" s="401" t="s">
        <v>262</v>
      </c>
      <c r="C81" s="402"/>
      <c r="D81" s="402"/>
      <c r="E81" s="402"/>
      <c r="F81" s="402"/>
      <c r="G81" s="402"/>
      <c r="H81" s="402"/>
      <c r="I81" s="402"/>
      <c r="J81" s="402"/>
      <c r="K81" s="402"/>
      <c r="L81" s="402"/>
      <c r="M81" s="402"/>
      <c r="N81" s="402"/>
      <c r="O81" s="402"/>
      <c r="P81" s="402"/>
      <c r="Q81" s="402"/>
      <c r="R81" s="403"/>
      <c r="S81" s="396">
        <f>488*'Школьная мебель'!B3</f>
        <v>927.19999999999993</v>
      </c>
      <c r="T81" s="397"/>
      <c r="U81" s="397"/>
      <c r="V81" s="398"/>
      <c r="W81" s="62"/>
      <c r="X81" s="399" t="s">
        <v>277</v>
      </c>
      <c r="Y81" s="399"/>
      <c r="Z81" s="399"/>
      <c r="AA81" s="399"/>
      <c r="AB81" s="399"/>
      <c r="AC81" s="399"/>
      <c r="AD81" s="399"/>
      <c r="AE81" s="399"/>
      <c r="AF81" s="399"/>
      <c r="AG81" s="399"/>
      <c r="AH81" s="399"/>
      <c r="AI81" s="399"/>
      <c r="AJ81" s="399"/>
      <c r="AK81" s="399"/>
      <c r="AL81" s="399"/>
      <c r="AM81" s="399"/>
      <c r="AN81" s="399"/>
      <c r="AO81" s="400">
        <f>28*'Школьная мебель'!B3</f>
        <v>53.199999999999996</v>
      </c>
      <c r="AP81" s="400"/>
      <c r="AQ81" s="400"/>
      <c r="AR81" s="400"/>
      <c r="AS81" s="62"/>
      <c r="AT81" s="399" t="s">
        <v>263</v>
      </c>
      <c r="AU81" s="399"/>
      <c r="AV81" s="399"/>
      <c r="AW81" s="399"/>
      <c r="AX81" s="399"/>
      <c r="AY81" s="399"/>
      <c r="AZ81" s="399"/>
      <c r="BA81" s="399"/>
      <c r="BB81" s="399"/>
      <c r="BC81" s="399"/>
      <c r="BD81" s="399"/>
      <c r="BE81" s="399"/>
      <c r="BF81" s="399"/>
      <c r="BG81" s="399"/>
      <c r="BH81" s="399"/>
      <c r="BI81" s="399"/>
      <c r="BJ81" s="399"/>
      <c r="BK81" s="400">
        <f>20*'Школьная мебель'!B3</f>
        <v>38</v>
      </c>
      <c r="BL81" s="400"/>
      <c r="BM81" s="400"/>
      <c r="BN81" s="400"/>
    </row>
    <row r="82" spans="2:71" ht="10.5" customHeight="1" x14ac:dyDescent="0.25">
      <c r="B82" s="401" t="s">
        <v>264</v>
      </c>
      <c r="C82" s="402"/>
      <c r="D82" s="402"/>
      <c r="E82" s="402"/>
      <c r="F82" s="402"/>
      <c r="G82" s="402"/>
      <c r="H82" s="402"/>
      <c r="I82" s="402"/>
      <c r="J82" s="402"/>
      <c r="K82" s="402"/>
      <c r="L82" s="402"/>
      <c r="M82" s="402"/>
      <c r="N82" s="402"/>
      <c r="O82" s="402"/>
      <c r="P82" s="402"/>
      <c r="Q82" s="402"/>
      <c r="R82" s="403"/>
      <c r="S82" s="396">
        <f>1274*'Школьная мебель'!B3</f>
        <v>2420.6</v>
      </c>
      <c r="T82" s="397"/>
      <c r="U82" s="397"/>
      <c r="V82" s="398"/>
      <c r="W82" s="3"/>
      <c r="X82" s="400" t="s">
        <v>274</v>
      </c>
      <c r="Y82" s="400"/>
      <c r="Z82" s="400"/>
      <c r="AA82" s="400"/>
      <c r="AB82" s="400"/>
      <c r="AC82" s="400"/>
      <c r="AD82" s="400"/>
      <c r="AE82" s="400"/>
      <c r="AF82" s="400"/>
      <c r="AG82" s="400"/>
      <c r="AH82" s="400"/>
      <c r="AI82" s="400"/>
      <c r="AJ82" s="400"/>
      <c r="AK82" s="400"/>
      <c r="AL82" s="400"/>
      <c r="AM82" s="400"/>
      <c r="AN82" s="400"/>
      <c r="AO82" s="400"/>
      <c r="AP82" s="400"/>
      <c r="AQ82" s="400"/>
      <c r="AR82" s="400"/>
      <c r="AS82" s="3"/>
      <c r="AT82" s="399" t="s">
        <v>265</v>
      </c>
      <c r="AU82" s="399"/>
      <c r="AV82" s="399"/>
      <c r="AW82" s="399"/>
      <c r="AX82" s="399"/>
      <c r="AY82" s="399"/>
      <c r="AZ82" s="399"/>
      <c r="BA82" s="399"/>
      <c r="BB82" s="399"/>
      <c r="BC82" s="399"/>
      <c r="BD82" s="399"/>
      <c r="BE82" s="399"/>
      <c r="BF82" s="399"/>
      <c r="BG82" s="399"/>
      <c r="BH82" s="399"/>
      <c r="BI82" s="399"/>
      <c r="BJ82" s="399"/>
      <c r="BK82" s="400">
        <f>440*'Школьная мебель'!B3</f>
        <v>836</v>
      </c>
      <c r="BL82" s="400"/>
      <c r="BM82" s="400"/>
      <c r="BN82" s="400"/>
    </row>
    <row r="83" spans="2:71" ht="9" customHeight="1" x14ac:dyDescent="0.25">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row>
    <row r="84" spans="2:71" s="248" customFormat="1" ht="15.75" x14ac:dyDescent="0.25">
      <c r="B84" s="248" t="s">
        <v>353</v>
      </c>
    </row>
    <row r="85" spans="2:71" ht="69.95" customHeight="1" x14ac:dyDescent="0.25">
      <c r="B85" s="115"/>
      <c r="C85" s="110"/>
      <c r="D85" s="110"/>
      <c r="E85" s="110"/>
      <c r="F85" s="110"/>
      <c r="G85" s="110"/>
      <c r="H85" s="110"/>
      <c r="I85" s="110"/>
      <c r="J85" s="110"/>
      <c r="K85" s="110"/>
      <c r="L85" s="110"/>
      <c r="M85" s="110"/>
      <c r="N85" s="110"/>
      <c r="O85" s="110"/>
      <c r="P85" s="110"/>
      <c r="Q85" s="110"/>
      <c r="R85" s="110"/>
      <c r="S85" s="115"/>
      <c r="T85" s="110"/>
      <c r="U85" s="110"/>
      <c r="V85" s="110"/>
      <c r="W85" s="110"/>
      <c r="X85" s="110"/>
      <c r="Y85" s="110"/>
      <c r="Z85" s="110"/>
      <c r="AA85" s="110"/>
      <c r="AB85" s="110"/>
      <c r="AC85" s="110"/>
      <c r="AD85" s="110"/>
      <c r="AE85" s="110"/>
      <c r="AF85" s="110"/>
      <c r="AG85" s="110"/>
      <c r="AH85" s="110"/>
      <c r="AI85" s="115"/>
      <c r="AJ85" s="110"/>
      <c r="AK85" s="110"/>
      <c r="AL85" s="110"/>
      <c r="AM85" s="110"/>
      <c r="AN85" s="110"/>
      <c r="AO85" s="110"/>
      <c r="AP85" s="110"/>
      <c r="AQ85" s="110"/>
      <c r="AR85" s="110"/>
      <c r="AS85" s="110"/>
      <c r="AT85" s="110"/>
      <c r="AU85" s="110"/>
      <c r="AV85" s="110"/>
      <c r="AW85" s="110"/>
      <c r="AX85" s="110"/>
      <c r="AY85" s="110"/>
      <c r="AZ85" s="110"/>
      <c r="BA85" s="111"/>
      <c r="BR85" s="23"/>
      <c r="BS85" s="23"/>
    </row>
    <row r="86" spans="2:71" ht="69.95" customHeight="1" x14ac:dyDescent="0.25">
      <c r="B86" s="116"/>
      <c r="C86" s="23"/>
      <c r="D86" s="23"/>
      <c r="E86" s="23"/>
      <c r="F86" s="23"/>
      <c r="G86" s="23"/>
      <c r="H86" s="23"/>
      <c r="I86" s="23"/>
      <c r="J86" s="23"/>
      <c r="K86" s="23"/>
      <c r="L86" s="23"/>
      <c r="M86" s="23"/>
      <c r="N86" s="23"/>
      <c r="O86" s="23"/>
      <c r="P86" s="23"/>
      <c r="Q86" s="23"/>
      <c r="R86" s="23"/>
      <c r="S86" s="116"/>
      <c r="T86" s="23"/>
      <c r="U86" s="23"/>
      <c r="V86" s="23"/>
      <c r="W86" s="23"/>
      <c r="X86" s="23"/>
      <c r="Y86" s="23"/>
      <c r="Z86" s="23"/>
      <c r="AA86" s="23"/>
      <c r="AB86" s="23"/>
      <c r="AC86" s="23"/>
      <c r="AD86" s="23"/>
      <c r="AE86" s="23"/>
      <c r="AF86" s="23"/>
      <c r="AG86" s="23"/>
      <c r="AH86" s="23"/>
      <c r="AI86" s="116"/>
      <c r="AJ86" s="23"/>
      <c r="AK86" s="23"/>
      <c r="AL86" s="23"/>
      <c r="AM86" s="23"/>
      <c r="AN86" s="23"/>
      <c r="AO86" s="23"/>
      <c r="AP86" s="23"/>
      <c r="AQ86" s="23"/>
      <c r="AR86" s="23"/>
      <c r="AS86" s="23"/>
      <c r="AT86" s="23"/>
      <c r="AU86" s="23"/>
      <c r="AV86" s="23"/>
      <c r="AW86" s="23"/>
      <c r="AX86" s="23"/>
      <c r="AY86" s="23"/>
      <c r="AZ86" s="23"/>
      <c r="BA86" s="112"/>
      <c r="BR86" s="23"/>
      <c r="BS86" s="23"/>
    </row>
    <row r="87" spans="2:71" ht="69.95" customHeight="1" x14ac:dyDescent="0.25">
      <c r="B87" s="116"/>
      <c r="C87" s="23"/>
      <c r="D87" s="23"/>
      <c r="E87" s="23"/>
      <c r="F87" s="23"/>
      <c r="G87" s="23"/>
      <c r="H87" s="23"/>
      <c r="I87" s="23"/>
      <c r="J87" s="23"/>
      <c r="K87" s="23"/>
      <c r="L87" s="23"/>
      <c r="M87" s="23"/>
      <c r="N87" s="23"/>
      <c r="O87" s="23"/>
      <c r="P87" s="23"/>
      <c r="Q87" s="23"/>
      <c r="R87" s="23"/>
      <c r="S87" s="116"/>
      <c r="T87" s="23"/>
      <c r="U87" s="23"/>
      <c r="V87" s="23"/>
      <c r="W87" s="23"/>
      <c r="X87" s="23"/>
      <c r="Y87" s="23"/>
      <c r="Z87" s="23"/>
      <c r="AA87" s="23"/>
      <c r="AB87" s="23"/>
      <c r="AC87" s="23"/>
      <c r="AD87" s="23"/>
      <c r="AE87" s="23"/>
      <c r="AF87" s="23"/>
      <c r="AG87" s="23"/>
      <c r="AH87" s="23"/>
      <c r="AI87" s="116"/>
      <c r="AJ87" s="23"/>
      <c r="AK87" s="23"/>
      <c r="AL87" s="23"/>
      <c r="AM87" s="23"/>
      <c r="AN87" s="23"/>
      <c r="AO87" s="23"/>
      <c r="AP87" s="23"/>
      <c r="AQ87" s="23"/>
      <c r="AR87" s="23"/>
      <c r="AS87" s="23"/>
      <c r="AT87" s="23"/>
      <c r="AU87" s="23"/>
      <c r="AV87" s="23"/>
      <c r="AW87" s="23"/>
      <c r="AX87" s="23"/>
      <c r="AY87" s="23"/>
      <c r="AZ87" s="23"/>
      <c r="BA87" s="112"/>
      <c r="BR87" s="23"/>
      <c r="BS87" s="23"/>
    </row>
    <row r="88" spans="2:71" ht="69.95" customHeight="1" x14ac:dyDescent="0.25">
      <c r="B88" s="116"/>
      <c r="C88" s="23"/>
      <c r="D88" s="23"/>
      <c r="E88" s="23"/>
      <c r="F88" s="23"/>
      <c r="G88" s="23"/>
      <c r="H88" s="23"/>
      <c r="I88" s="23"/>
      <c r="J88" s="23"/>
      <c r="K88" s="23"/>
      <c r="L88" s="23"/>
      <c r="M88" s="23"/>
      <c r="N88" s="23"/>
      <c r="O88" s="23"/>
      <c r="P88" s="23"/>
      <c r="Q88" s="23"/>
      <c r="R88" s="23"/>
      <c r="S88" s="116"/>
      <c r="T88" s="23"/>
      <c r="U88" s="23"/>
      <c r="V88" s="23"/>
      <c r="W88" s="23"/>
      <c r="X88" s="23"/>
      <c r="Y88" s="23"/>
      <c r="Z88" s="23"/>
      <c r="AA88" s="23"/>
      <c r="AB88" s="23"/>
      <c r="AC88" s="23"/>
      <c r="AD88" s="23"/>
      <c r="AE88" s="23"/>
      <c r="AF88" s="23"/>
      <c r="AG88" s="23"/>
      <c r="AH88" s="23"/>
      <c r="AI88" s="116"/>
      <c r="AJ88" s="23"/>
      <c r="AK88" s="23"/>
      <c r="AL88" s="23"/>
      <c r="AM88" s="23"/>
      <c r="AN88" s="23"/>
      <c r="AO88" s="23"/>
      <c r="AP88" s="23"/>
      <c r="AQ88" s="23"/>
      <c r="AR88" s="23"/>
      <c r="AS88" s="23"/>
      <c r="AT88" s="23"/>
      <c r="AU88" s="23"/>
      <c r="AV88" s="23"/>
      <c r="AW88" s="23"/>
      <c r="AX88" s="23"/>
      <c r="AY88" s="23"/>
      <c r="AZ88" s="23"/>
      <c r="BA88" s="112"/>
      <c r="BR88" s="23"/>
      <c r="BS88" s="23"/>
    </row>
    <row r="89" spans="2:71" ht="69.95" customHeight="1" x14ac:dyDescent="0.25">
      <c r="B89" s="116"/>
      <c r="C89" s="23"/>
      <c r="D89" s="23"/>
      <c r="E89" s="23"/>
      <c r="F89" s="23"/>
      <c r="G89" s="23"/>
      <c r="H89" s="23"/>
      <c r="I89" s="23"/>
      <c r="J89" s="23"/>
      <c r="K89" s="23"/>
      <c r="L89" s="23"/>
      <c r="M89" s="23"/>
      <c r="N89" s="23"/>
      <c r="O89" s="23"/>
      <c r="P89" s="23"/>
      <c r="Q89" s="23"/>
      <c r="R89" s="23"/>
      <c r="S89" s="115"/>
      <c r="T89" s="110"/>
      <c r="U89" s="110"/>
      <c r="V89" s="110"/>
      <c r="W89" s="110"/>
      <c r="X89" s="110"/>
      <c r="Y89" s="110"/>
      <c r="Z89" s="110"/>
      <c r="AA89" s="120" t="s">
        <v>354</v>
      </c>
      <c r="AB89" s="110"/>
      <c r="AC89" s="110"/>
      <c r="AD89" s="110"/>
      <c r="AE89" s="110"/>
      <c r="AF89" s="110"/>
      <c r="AG89" s="110"/>
      <c r="AH89" s="110"/>
      <c r="AI89" s="120"/>
      <c r="AJ89" s="110"/>
      <c r="AK89" s="110"/>
      <c r="AL89" s="110"/>
      <c r="AM89" s="110"/>
      <c r="AN89" s="110"/>
      <c r="AO89" s="110"/>
      <c r="AP89" s="110"/>
      <c r="AQ89" s="110"/>
      <c r="AR89" s="110"/>
      <c r="AS89" s="110"/>
      <c r="AT89" s="110"/>
      <c r="AU89" s="110"/>
      <c r="AV89" s="110"/>
      <c r="AW89" s="110"/>
      <c r="AX89" s="110"/>
      <c r="AY89" s="66"/>
      <c r="AZ89" s="66"/>
      <c r="BA89" s="119"/>
    </row>
    <row r="90" spans="2:71" ht="69.95" customHeight="1" x14ac:dyDescent="0.25">
      <c r="B90" s="117"/>
      <c r="C90" s="113"/>
      <c r="D90" s="113"/>
      <c r="E90" s="113"/>
      <c r="F90" s="113"/>
      <c r="G90" s="113"/>
      <c r="H90" s="113"/>
      <c r="I90" s="113"/>
      <c r="J90" s="113"/>
      <c r="K90" s="113"/>
      <c r="L90" s="113"/>
      <c r="M90" s="113"/>
      <c r="N90" s="113"/>
      <c r="O90" s="113"/>
      <c r="P90" s="113"/>
      <c r="Q90" s="113"/>
      <c r="R90" s="113"/>
      <c r="S90" s="117"/>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4"/>
      <c r="AZ90" s="114"/>
      <c r="BA90" s="118"/>
    </row>
    <row r="91" spans="2:71" ht="10.5" customHeight="1" x14ac:dyDescent="0.25">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row>
    <row r="92" spans="2:71" ht="15.75" x14ac:dyDescent="0.25">
      <c r="B92" s="248" t="s">
        <v>670</v>
      </c>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row>
    <row r="93" spans="2:71" ht="158.25" customHeight="1" x14ac:dyDescent="0.25">
      <c r="B93" s="115"/>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1"/>
      <c r="BB93" s="23"/>
      <c r="BC93" s="23"/>
      <c r="BD93" s="23"/>
      <c r="BE93" s="23"/>
      <c r="BF93" s="23"/>
      <c r="BG93" s="23"/>
      <c r="BH93" s="23"/>
      <c r="BI93" s="23"/>
      <c r="BJ93" s="23"/>
      <c r="BK93" s="23"/>
      <c r="BL93" s="23"/>
      <c r="BM93" s="23"/>
      <c r="BN93" s="23"/>
    </row>
    <row r="94" spans="2:71" ht="248.25" customHeight="1" x14ac:dyDescent="0.25">
      <c r="B94" s="117"/>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249"/>
      <c r="BB94" s="23"/>
      <c r="BC94" s="23"/>
      <c r="BD94" s="23"/>
      <c r="BE94" s="23"/>
      <c r="BF94" s="23"/>
      <c r="BG94" s="23"/>
      <c r="BH94" s="23"/>
      <c r="BI94" s="23"/>
      <c r="BJ94" s="23"/>
      <c r="BK94" s="23"/>
      <c r="BL94" s="23"/>
      <c r="BM94" s="23"/>
      <c r="BN94" s="23"/>
    </row>
    <row r="95" spans="2:71" ht="9" customHeight="1" x14ac:dyDescent="0.25">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row>
    <row r="96" spans="2:71" ht="9" customHeight="1" x14ac:dyDescent="0.25">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row>
    <row r="97" spans="2:66" ht="9" customHeight="1" x14ac:dyDescent="0.25">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row>
    <row r="98" spans="2:66" ht="9" customHeight="1" x14ac:dyDescent="0.25">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row>
    <row r="99" spans="2:66" ht="9" customHeight="1" x14ac:dyDescent="0.25">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row>
    <row r="100" spans="2:66" ht="9" customHeight="1" x14ac:dyDescent="0.25">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row>
    <row r="101" spans="2:66" ht="9" customHeight="1" x14ac:dyDescent="0.25">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row>
    <row r="102" spans="2:66" ht="9" customHeight="1" x14ac:dyDescent="0.25">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66" ht="9" customHeight="1" x14ac:dyDescent="0.25">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66" ht="9" customHeight="1" x14ac:dyDescent="0.25">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66" ht="9" customHeight="1" x14ac:dyDescent="0.25"/>
    <row r="106" spans="2:66" ht="9" customHeight="1" x14ac:dyDescent="0.25"/>
    <row r="107" spans="2:66" ht="9" customHeight="1" x14ac:dyDescent="0.25"/>
    <row r="108" spans="2:66" ht="9" customHeight="1" x14ac:dyDescent="0.25"/>
    <row r="109" spans="2:66" ht="9" customHeight="1" x14ac:dyDescent="0.25"/>
    <row r="110" spans="2:66" ht="9" customHeight="1" x14ac:dyDescent="0.25"/>
    <row r="111" spans="2:66" ht="9" customHeight="1" x14ac:dyDescent="0.25"/>
    <row r="112" spans="2:66" ht="9" customHeight="1" x14ac:dyDescent="0.25"/>
    <row r="113" ht="9" customHeight="1" x14ac:dyDescent="0.25"/>
    <row r="114" ht="9" customHeight="1" x14ac:dyDescent="0.25"/>
    <row r="115" ht="9" customHeight="1" x14ac:dyDescent="0.25"/>
    <row r="116" ht="9" customHeight="1" x14ac:dyDescent="0.25"/>
    <row r="117" ht="9" customHeight="1" x14ac:dyDescent="0.25"/>
    <row r="118" ht="9" customHeight="1" x14ac:dyDescent="0.25"/>
    <row r="119" ht="9" customHeight="1" x14ac:dyDescent="0.25"/>
    <row r="120" ht="9" customHeight="1" x14ac:dyDescent="0.25"/>
    <row r="121" ht="9" customHeight="1" x14ac:dyDescent="0.25"/>
    <row r="122" ht="9" customHeight="1" x14ac:dyDescent="0.25"/>
    <row r="123" ht="9" customHeight="1" x14ac:dyDescent="0.25"/>
    <row r="124" ht="9" customHeight="1" x14ac:dyDescent="0.25"/>
    <row r="125" ht="9" customHeight="1" x14ac:dyDescent="0.25"/>
    <row r="126" ht="9" customHeight="1" x14ac:dyDescent="0.25"/>
    <row r="127" ht="9" customHeight="1" x14ac:dyDescent="0.25"/>
    <row r="128" ht="9" customHeight="1" x14ac:dyDescent="0.25"/>
    <row r="129" ht="9" customHeight="1" x14ac:dyDescent="0.25"/>
    <row r="130" ht="9" customHeight="1" x14ac:dyDescent="0.25"/>
    <row r="131" ht="9" customHeight="1" x14ac:dyDescent="0.25"/>
    <row r="132" ht="9" customHeight="1" x14ac:dyDescent="0.25"/>
    <row r="133" ht="9" customHeight="1" x14ac:dyDescent="0.25"/>
    <row r="134" ht="9" customHeight="1" x14ac:dyDescent="0.25"/>
    <row r="135" ht="9" customHeight="1" x14ac:dyDescent="0.25"/>
    <row r="136" ht="9" customHeight="1" x14ac:dyDescent="0.25"/>
    <row r="137" ht="9" customHeight="1" x14ac:dyDescent="0.25"/>
    <row r="138" ht="9" customHeight="1" x14ac:dyDescent="0.25"/>
    <row r="139" ht="9" customHeight="1" x14ac:dyDescent="0.25"/>
    <row r="140" ht="9" customHeight="1" x14ac:dyDescent="0.25"/>
    <row r="141" ht="9" customHeight="1" x14ac:dyDescent="0.25"/>
    <row r="142" ht="9" customHeight="1" x14ac:dyDescent="0.25"/>
    <row r="143" ht="9" customHeight="1" x14ac:dyDescent="0.25"/>
    <row r="144" ht="9" customHeight="1" x14ac:dyDescent="0.25"/>
    <row r="145" ht="9" customHeight="1" x14ac:dyDescent="0.25"/>
    <row r="146" ht="9" customHeight="1" x14ac:dyDescent="0.25"/>
    <row r="147" ht="9" customHeight="1" x14ac:dyDescent="0.25"/>
    <row r="148" ht="9" customHeight="1" x14ac:dyDescent="0.25"/>
    <row r="149" ht="9" customHeight="1" x14ac:dyDescent="0.25"/>
    <row r="150" ht="9" customHeight="1" x14ac:dyDescent="0.25"/>
    <row r="151" ht="9" customHeight="1" x14ac:dyDescent="0.25"/>
    <row r="152" ht="9" customHeight="1" x14ac:dyDescent="0.25"/>
    <row r="153" ht="9" customHeight="1" x14ac:dyDescent="0.25"/>
    <row r="154" ht="9" customHeight="1" x14ac:dyDescent="0.25"/>
    <row r="155" ht="9" customHeight="1" x14ac:dyDescent="0.25"/>
    <row r="156" ht="9" customHeight="1" x14ac:dyDescent="0.25"/>
    <row r="157" ht="9" customHeight="1" x14ac:dyDescent="0.25"/>
    <row r="158" ht="9" customHeight="1" x14ac:dyDescent="0.25"/>
    <row r="159" ht="9" customHeight="1" x14ac:dyDescent="0.25"/>
    <row r="160" ht="9" customHeight="1" x14ac:dyDescent="0.25"/>
    <row r="161" ht="9" customHeight="1" x14ac:dyDescent="0.25"/>
    <row r="162" ht="9" customHeight="1" x14ac:dyDescent="0.25"/>
    <row r="163" ht="9" customHeight="1" x14ac:dyDescent="0.25"/>
    <row r="164" ht="9" customHeight="1" x14ac:dyDescent="0.25"/>
    <row r="165" ht="9" customHeight="1" x14ac:dyDescent="0.25"/>
    <row r="166" ht="9" customHeight="1" x14ac:dyDescent="0.25"/>
    <row r="167" ht="9" customHeight="1" x14ac:dyDescent="0.25"/>
    <row r="168" ht="9" customHeight="1" x14ac:dyDescent="0.25"/>
    <row r="169" ht="9" customHeight="1" x14ac:dyDescent="0.25"/>
    <row r="170" ht="9" customHeight="1" x14ac:dyDescent="0.25"/>
    <row r="171" ht="9" customHeight="1" x14ac:dyDescent="0.25"/>
    <row r="172" ht="9" customHeight="1" x14ac:dyDescent="0.25"/>
    <row r="173" ht="9" customHeight="1" x14ac:dyDescent="0.25"/>
    <row r="174" ht="9" customHeight="1" x14ac:dyDescent="0.25"/>
    <row r="175" ht="9" customHeight="1" x14ac:dyDescent="0.25"/>
    <row r="176" ht="9" customHeight="1" x14ac:dyDescent="0.25"/>
    <row r="177" ht="9" customHeight="1" x14ac:dyDescent="0.25"/>
    <row r="178" ht="9" customHeight="1" x14ac:dyDescent="0.25"/>
    <row r="179" ht="9" customHeight="1" x14ac:dyDescent="0.25"/>
    <row r="180" ht="9" customHeight="1" x14ac:dyDescent="0.25"/>
    <row r="181" ht="9" customHeight="1" x14ac:dyDescent="0.25"/>
    <row r="182" ht="9" customHeight="1" x14ac:dyDescent="0.25"/>
    <row r="183" ht="9" customHeight="1" x14ac:dyDescent="0.25"/>
    <row r="184" ht="9" customHeight="1" x14ac:dyDescent="0.25"/>
    <row r="185" ht="9" customHeight="1" x14ac:dyDescent="0.25"/>
    <row r="186" ht="9" customHeight="1" x14ac:dyDescent="0.25"/>
    <row r="187" ht="9" customHeight="1" x14ac:dyDescent="0.25"/>
    <row r="188" ht="9" customHeight="1" x14ac:dyDescent="0.25"/>
    <row r="189" ht="9" customHeight="1" x14ac:dyDescent="0.25"/>
    <row r="190" ht="9" customHeight="1" x14ac:dyDescent="0.25"/>
    <row r="191" ht="9" customHeight="1" x14ac:dyDescent="0.25"/>
    <row r="192" ht="9" customHeight="1" x14ac:dyDescent="0.25"/>
    <row r="193" ht="9" customHeight="1" x14ac:dyDescent="0.25"/>
    <row r="194" ht="9" customHeight="1" x14ac:dyDescent="0.25"/>
    <row r="195" ht="9" customHeight="1" x14ac:dyDescent="0.25"/>
    <row r="196" ht="9" customHeight="1" x14ac:dyDescent="0.25"/>
    <row r="197" ht="9" customHeight="1" x14ac:dyDescent="0.25"/>
    <row r="198" ht="9" customHeight="1" x14ac:dyDescent="0.25"/>
    <row r="199" ht="9" customHeight="1" x14ac:dyDescent="0.25"/>
    <row r="200" ht="9" customHeight="1" x14ac:dyDescent="0.25"/>
    <row r="201" ht="9" customHeight="1" x14ac:dyDescent="0.25"/>
    <row r="202" ht="9" customHeight="1" x14ac:dyDescent="0.25"/>
    <row r="203" ht="9" customHeight="1" x14ac:dyDescent="0.25"/>
    <row r="204" ht="9" customHeight="1" x14ac:dyDescent="0.25"/>
    <row r="205" ht="9" customHeight="1" x14ac:dyDescent="0.25"/>
    <row r="206" ht="9" customHeight="1" x14ac:dyDescent="0.25"/>
    <row r="207" ht="9" customHeight="1" x14ac:dyDescent="0.25"/>
    <row r="208" ht="9" customHeight="1" x14ac:dyDescent="0.25"/>
    <row r="209" ht="9" customHeight="1" x14ac:dyDescent="0.25"/>
    <row r="210" ht="9" customHeight="1" x14ac:dyDescent="0.25"/>
    <row r="211" ht="9" customHeight="1" x14ac:dyDescent="0.25"/>
    <row r="212" ht="9" customHeight="1" x14ac:dyDescent="0.25"/>
    <row r="213" ht="9" customHeight="1" x14ac:dyDescent="0.25"/>
    <row r="214" ht="9" customHeight="1" x14ac:dyDescent="0.25"/>
    <row r="215" ht="9" customHeight="1" x14ac:dyDescent="0.25"/>
    <row r="216" ht="9" customHeight="1" x14ac:dyDescent="0.25"/>
    <row r="217" ht="9" customHeight="1" x14ac:dyDescent="0.25"/>
    <row r="218" ht="9" customHeight="1" x14ac:dyDescent="0.25"/>
    <row r="219" ht="9" customHeight="1" x14ac:dyDescent="0.25"/>
    <row r="220" ht="9" customHeight="1" x14ac:dyDescent="0.25"/>
    <row r="221" ht="9" customHeight="1" x14ac:dyDescent="0.25"/>
    <row r="222" ht="9" customHeight="1" x14ac:dyDescent="0.25"/>
    <row r="223" ht="9" customHeight="1" x14ac:dyDescent="0.25"/>
    <row r="224" ht="9" customHeight="1" x14ac:dyDescent="0.25"/>
    <row r="225" ht="9" customHeight="1" x14ac:dyDescent="0.25"/>
    <row r="226" ht="9" customHeight="1" x14ac:dyDescent="0.25"/>
    <row r="227" ht="9" customHeight="1" x14ac:dyDescent="0.25"/>
    <row r="228" ht="9" customHeight="1" x14ac:dyDescent="0.25"/>
    <row r="229" ht="9" customHeight="1" x14ac:dyDescent="0.25"/>
    <row r="230" ht="9" customHeight="1" x14ac:dyDescent="0.25"/>
    <row r="231" ht="9" customHeight="1" x14ac:dyDescent="0.25"/>
    <row r="232" ht="9" customHeight="1" x14ac:dyDescent="0.25"/>
    <row r="233" ht="9" customHeight="1" x14ac:dyDescent="0.25"/>
    <row r="234" ht="9" customHeight="1" x14ac:dyDescent="0.25"/>
    <row r="235" ht="9" customHeight="1" x14ac:dyDescent="0.25"/>
    <row r="236" ht="9" customHeight="1" x14ac:dyDescent="0.25"/>
    <row r="237" ht="9" customHeight="1" x14ac:dyDescent="0.25"/>
  </sheetData>
  <mergeCells count="260">
    <mergeCell ref="B3:K3"/>
    <mergeCell ref="M3:BN3"/>
    <mergeCell ref="B7:D7"/>
    <mergeCell ref="M7:O7"/>
    <mergeCell ref="P7:V7"/>
    <mergeCell ref="X7:Z7"/>
    <mergeCell ref="AA7:AG7"/>
    <mergeCell ref="AI7:AK7"/>
    <mergeCell ref="AL7:AR7"/>
    <mergeCell ref="B6:D6"/>
    <mergeCell ref="E6:K6"/>
    <mergeCell ref="M6:O6"/>
    <mergeCell ref="P6:V6"/>
    <mergeCell ref="X6:Z6"/>
    <mergeCell ref="AA6:AG6"/>
    <mergeCell ref="AI6:AK6"/>
    <mergeCell ref="AL6:AR6"/>
    <mergeCell ref="AT7:AV7"/>
    <mergeCell ref="AW7:BC7"/>
    <mergeCell ref="BE7:BH7"/>
    <mergeCell ref="BI7:BN7"/>
    <mergeCell ref="AT8:BC8"/>
    <mergeCell ref="BE8:BN8"/>
    <mergeCell ref="AW6:BC6"/>
    <mergeCell ref="BE6:BH6"/>
    <mergeCell ref="BI6:BN6"/>
    <mergeCell ref="AT6:AV6"/>
    <mergeCell ref="BE16:BN16"/>
    <mergeCell ref="B17:G17"/>
    <mergeCell ref="H17:K17"/>
    <mergeCell ref="M17:R17"/>
    <mergeCell ref="S17:V17"/>
    <mergeCell ref="X17:AC17"/>
    <mergeCell ref="AD17:AG17"/>
    <mergeCell ref="AI17:AN17"/>
    <mergeCell ref="AO17:AR17"/>
    <mergeCell ref="AT17:AY17"/>
    <mergeCell ref="B16:K16"/>
    <mergeCell ref="M16:V16"/>
    <mergeCell ref="X16:AG16"/>
    <mergeCell ref="AI16:AR16"/>
    <mergeCell ref="AT16:BC16"/>
    <mergeCell ref="AZ17:BC17"/>
    <mergeCell ref="BE17:BJ17"/>
    <mergeCell ref="BK17:BN17"/>
    <mergeCell ref="B18:G18"/>
    <mergeCell ref="H18:K18"/>
    <mergeCell ref="M18:R18"/>
    <mergeCell ref="S18:V18"/>
    <mergeCell ref="X18:AC18"/>
    <mergeCell ref="AD18:AG18"/>
    <mergeCell ref="AI18:AN18"/>
    <mergeCell ref="AO18:AR18"/>
    <mergeCell ref="AT18:AY18"/>
    <mergeCell ref="AZ18:BC18"/>
    <mergeCell ref="BE18:BJ18"/>
    <mergeCell ref="BK18:BN18"/>
    <mergeCell ref="B20:D20"/>
    <mergeCell ref="E20:K20"/>
    <mergeCell ref="M20:O20"/>
    <mergeCell ref="P20:V20"/>
    <mergeCell ref="X20:Z20"/>
    <mergeCell ref="B30:K30"/>
    <mergeCell ref="M30:V30"/>
    <mergeCell ref="X30:AG30"/>
    <mergeCell ref="AI30:AR30"/>
    <mergeCell ref="AT30:BC30"/>
    <mergeCell ref="BE30:BN30"/>
    <mergeCell ref="BH20:BN20"/>
    <mergeCell ref="B21:K21"/>
    <mergeCell ref="M21:V21"/>
    <mergeCell ref="X21:AG21"/>
    <mergeCell ref="AI21:AR21"/>
    <mergeCell ref="BE21:BN21"/>
    <mergeCell ref="AA20:AG20"/>
    <mergeCell ref="AI20:AK20"/>
    <mergeCell ref="AL20:AR20"/>
    <mergeCell ref="AT20:AV20"/>
    <mergeCell ref="AW20:BC20"/>
    <mergeCell ref="BE20:BG20"/>
    <mergeCell ref="AI31:AN31"/>
    <mergeCell ref="AO31:AR31"/>
    <mergeCell ref="AT31:AY31"/>
    <mergeCell ref="AZ31:BC31"/>
    <mergeCell ref="BE31:BJ31"/>
    <mergeCell ref="BK31:BN31"/>
    <mergeCell ref="B31:G31"/>
    <mergeCell ref="H31:K31"/>
    <mergeCell ref="M31:R31"/>
    <mergeCell ref="S31:V31"/>
    <mergeCell ref="X31:AC31"/>
    <mergeCell ref="AD31:AG31"/>
    <mergeCell ref="AI33:AL33"/>
    <mergeCell ref="AM33:AR33"/>
    <mergeCell ref="AT33:AV33"/>
    <mergeCell ref="AW33:BC33"/>
    <mergeCell ref="BE33:BH33"/>
    <mergeCell ref="BI33:BN33"/>
    <mergeCell ref="B33:D33"/>
    <mergeCell ref="E33:K33"/>
    <mergeCell ref="M33:O33"/>
    <mergeCell ref="P33:V33"/>
    <mergeCell ref="X33:Z33"/>
    <mergeCell ref="AA33:AG33"/>
    <mergeCell ref="B43:K43"/>
    <mergeCell ref="M43:V43"/>
    <mergeCell ref="X43:AG43"/>
    <mergeCell ref="AI43:AR43"/>
    <mergeCell ref="AT43:BC43"/>
    <mergeCell ref="BE43:BN43"/>
    <mergeCell ref="M34:V34"/>
    <mergeCell ref="X34:AG34"/>
    <mergeCell ref="AI34:AR34"/>
    <mergeCell ref="AT34:BC34"/>
    <mergeCell ref="BE34:BN34"/>
    <mergeCell ref="M35:V35"/>
    <mergeCell ref="X35:AG35"/>
    <mergeCell ref="AI35:AR35"/>
    <mergeCell ref="AT35:BC35"/>
    <mergeCell ref="BE35:BN35"/>
    <mergeCell ref="AI44:AN44"/>
    <mergeCell ref="AO44:AR44"/>
    <mergeCell ref="AT44:AY44"/>
    <mergeCell ref="AZ44:BC44"/>
    <mergeCell ref="BE44:BJ44"/>
    <mergeCell ref="BK44:BN44"/>
    <mergeCell ref="B44:G44"/>
    <mergeCell ref="H44:K44"/>
    <mergeCell ref="M44:R44"/>
    <mergeCell ref="S44:V44"/>
    <mergeCell ref="X44:AC44"/>
    <mergeCell ref="AD44:AG44"/>
    <mergeCell ref="AI46:AK46"/>
    <mergeCell ref="AL46:AR46"/>
    <mergeCell ref="AT46:AV46"/>
    <mergeCell ref="AW46:BC46"/>
    <mergeCell ref="BE46:BG46"/>
    <mergeCell ref="BH46:BN46"/>
    <mergeCell ref="B46:D46"/>
    <mergeCell ref="E46:K46"/>
    <mergeCell ref="M46:O46"/>
    <mergeCell ref="P46:V46"/>
    <mergeCell ref="X46:Z46"/>
    <mergeCell ref="AA46:AG46"/>
    <mergeCell ref="B47:K47"/>
    <mergeCell ref="M47:V47"/>
    <mergeCell ref="AT47:BC47"/>
    <mergeCell ref="BE47:BN47"/>
    <mergeCell ref="B48:K48"/>
    <mergeCell ref="B57:K57"/>
    <mergeCell ref="M57:R57"/>
    <mergeCell ref="S57:T57"/>
    <mergeCell ref="U57:V57"/>
    <mergeCell ref="X57:AG57"/>
    <mergeCell ref="AI57:AR57"/>
    <mergeCell ref="AT57:BC57"/>
    <mergeCell ref="BE57:BN57"/>
    <mergeCell ref="B58:G58"/>
    <mergeCell ref="H58:K58"/>
    <mergeCell ref="M58:R58"/>
    <mergeCell ref="S58:T58"/>
    <mergeCell ref="U58:V58"/>
    <mergeCell ref="X58:AC58"/>
    <mergeCell ref="AD58:AG58"/>
    <mergeCell ref="BE60:BG60"/>
    <mergeCell ref="BH60:BN60"/>
    <mergeCell ref="B60:D60"/>
    <mergeCell ref="E60:K60"/>
    <mergeCell ref="M60:O60"/>
    <mergeCell ref="P60:V60"/>
    <mergeCell ref="X60:Z60"/>
    <mergeCell ref="AA60:AG60"/>
    <mergeCell ref="AI58:AN58"/>
    <mergeCell ref="AO58:AR58"/>
    <mergeCell ref="AT58:AY58"/>
    <mergeCell ref="AZ58:BC58"/>
    <mergeCell ref="BE58:BJ58"/>
    <mergeCell ref="BK58:BN58"/>
    <mergeCell ref="M70:V70"/>
    <mergeCell ref="B71:K71"/>
    <mergeCell ref="M71:V71"/>
    <mergeCell ref="X71:AG71"/>
    <mergeCell ref="AI71:AR71"/>
    <mergeCell ref="AT71:BC71"/>
    <mergeCell ref="AI60:AK60"/>
    <mergeCell ref="AL60:AR60"/>
    <mergeCell ref="AT60:AV60"/>
    <mergeCell ref="AW60:BC60"/>
    <mergeCell ref="BF1:BN1"/>
    <mergeCell ref="B2:BN2"/>
    <mergeCell ref="B5:BN5"/>
    <mergeCell ref="B76:R76"/>
    <mergeCell ref="AO72:AR72"/>
    <mergeCell ref="AT72:AY72"/>
    <mergeCell ref="AZ72:BC72"/>
    <mergeCell ref="BE72:BJ72"/>
    <mergeCell ref="BK72:BL72"/>
    <mergeCell ref="BM72:BN72"/>
    <mergeCell ref="BE71:BJ71"/>
    <mergeCell ref="BK71:BL71"/>
    <mergeCell ref="BM71:BN71"/>
    <mergeCell ref="B72:G72"/>
    <mergeCell ref="H72:K72"/>
    <mergeCell ref="M72:R72"/>
    <mergeCell ref="S72:V72"/>
    <mergeCell ref="X72:AC72"/>
    <mergeCell ref="AD72:AG72"/>
    <mergeCell ref="AI72:AN72"/>
    <mergeCell ref="B61:K61"/>
    <mergeCell ref="AI61:AR62"/>
    <mergeCell ref="AT61:AW61"/>
    <mergeCell ref="AZ61:BC61"/>
    <mergeCell ref="B82:R82"/>
    <mergeCell ref="S82:V82"/>
    <mergeCell ref="X82:AR82"/>
    <mergeCell ref="AT82:BJ82"/>
    <mergeCell ref="BK82:BN82"/>
    <mergeCell ref="B81:R81"/>
    <mergeCell ref="S81:V81"/>
    <mergeCell ref="X81:AN81"/>
    <mergeCell ref="AO81:AR81"/>
    <mergeCell ref="AT81:BJ81"/>
    <mergeCell ref="B79:R79"/>
    <mergeCell ref="S79:V79"/>
    <mergeCell ref="X79:AN79"/>
    <mergeCell ref="AO79:AR79"/>
    <mergeCell ref="AT79:BJ79"/>
    <mergeCell ref="BK79:BN79"/>
    <mergeCell ref="BK81:BN81"/>
    <mergeCell ref="B80:R80"/>
    <mergeCell ref="S80:V80"/>
    <mergeCell ref="X80:AN80"/>
    <mergeCell ref="AO80:AR80"/>
    <mergeCell ref="AT80:BJ80"/>
    <mergeCell ref="BK80:BN80"/>
    <mergeCell ref="B77:R77"/>
    <mergeCell ref="S77:V77"/>
    <mergeCell ref="X77:AN77"/>
    <mergeCell ref="AO77:AR77"/>
    <mergeCell ref="AT77:BJ77"/>
    <mergeCell ref="BK77:BN77"/>
    <mergeCell ref="B78:R78"/>
    <mergeCell ref="S78:V78"/>
    <mergeCell ref="X78:AN78"/>
    <mergeCell ref="AO78:AR78"/>
    <mergeCell ref="AT78:BJ78"/>
    <mergeCell ref="BK78:BN78"/>
    <mergeCell ref="B75:G75"/>
    <mergeCell ref="H75:K75"/>
    <mergeCell ref="M75:R75"/>
    <mergeCell ref="S75:V75"/>
    <mergeCell ref="X75:AN75"/>
    <mergeCell ref="AO75:AR75"/>
    <mergeCell ref="AT75:BJ75"/>
    <mergeCell ref="BK75:BN75"/>
    <mergeCell ref="S76:V76"/>
    <mergeCell ref="X76:AN76"/>
    <mergeCell ref="AO76:AR76"/>
    <mergeCell ref="AT76:BJ76"/>
    <mergeCell ref="BK76:BN76"/>
  </mergeCells>
  <hyperlinks>
    <hyperlink ref="BF1:BN1" location="ОГЛАВЛЕНИЕ!R1C1" display="ОГЛАВЛЕНИЕ!R1C1" xr:uid="{AD1EC731-052C-4DDE-8E47-71BD3B693287}"/>
    <hyperlink ref="B5:BN5" location="'Ученическая мебель &quot;Бюджет&quot;'!R82C24" display="Нажмите чтобы узнать какие есть дополнения к ученическим столам" xr:uid="{61C546BD-A5DA-4CAF-B41D-95E37D5388B2}"/>
  </hyperlinks>
  <printOptions horizontalCentered="1" verticalCentered="1"/>
  <pageMargins left="0.25" right="0.25" top="0.75" bottom="0.75" header="0.3" footer="0.3"/>
  <pageSetup paperSize="9" scale="5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184E-8072-4B98-8DE1-17DB4F116502}">
  <sheetPr>
    <tabColor theme="5" tint="0.59999389629810485"/>
  </sheetPr>
  <dimension ref="A1:N12"/>
  <sheetViews>
    <sheetView workbookViewId="0">
      <selection activeCell="B10" sqref="B10"/>
    </sheetView>
  </sheetViews>
  <sheetFormatPr defaultRowHeight="14.25" x14ac:dyDescent="0.25"/>
  <cols>
    <col min="1" max="1" width="5.7109375" style="252" customWidth="1"/>
    <col min="2" max="2" width="32" style="264" customWidth="1"/>
    <col min="3" max="3" width="37.28515625" style="264" customWidth="1"/>
    <col min="4" max="4" width="48" style="264" customWidth="1"/>
    <col min="5" max="5" width="13.140625" style="264" customWidth="1"/>
    <col min="6" max="16384" width="9.140625" style="252"/>
  </cols>
  <sheetData>
    <row r="1" spans="1:14" ht="90.95" customHeight="1" x14ac:dyDescent="0.25">
      <c r="A1" s="447"/>
      <c r="B1" s="447"/>
      <c r="C1" s="447"/>
      <c r="D1" s="447"/>
      <c r="E1" s="267" t="s">
        <v>0</v>
      </c>
      <c r="F1" s="254"/>
      <c r="G1" s="254"/>
      <c r="H1" s="254"/>
      <c r="I1" s="254"/>
      <c r="J1" s="254"/>
      <c r="K1" s="254"/>
      <c r="L1" s="254"/>
      <c r="M1" s="254"/>
      <c r="N1" s="254"/>
    </row>
    <row r="2" spans="1:14" x14ac:dyDescent="0.25">
      <c r="A2" s="446" t="s">
        <v>728</v>
      </c>
      <c r="B2" s="446"/>
      <c r="C2" s="446"/>
      <c r="D2" s="446"/>
      <c r="E2" s="446"/>
    </row>
    <row r="3" spans="1:14" ht="18" customHeight="1" x14ac:dyDescent="0.25">
      <c r="A3" s="265">
        <v>1.8</v>
      </c>
      <c r="B3" s="451" t="s">
        <v>708</v>
      </c>
      <c r="C3" s="451"/>
      <c r="D3" s="451"/>
      <c r="E3" s="452"/>
    </row>
    <row r="4" spans="1:14" ht="15" x14ac:dyDescent="0.25">
      <c r="A4" s="448" t="s">
        <v>717</v>
      </c>
      <c r="B4" s="449"/>
      <c r="C4" s="449"/>
      <c r="D4" s="449"/>
      <c r="E4" s="450"/>
    </row>
    <row r="5" spans="1:14" ht="27" customHeight="1" x14ac:dyDescent="0.25">
      <c r="A5" s="257" t="s">
        <v>671</v>
      </c>
      <c r="B5" s="266" t="s">
        <v>672</v>
      </c>
      <c r="C5" s="266" t="s">
        <v>673</v>
      </c>
      <c r="D5" s="266" t="s">
        <v>674</v>
      </c>
      <c r="E5" s="257" t="s">
        <v>675</v>
      </c>
    </row>
    <row r="6" spans="1:14" ht="135" customHeight="1" x14ac:dyDescent="0.25">
      <c r="A6" s="266">
        <v>1</v>
      </c>
      <c r="B6" s="261" t="s">
        <v>711</v>
      </c>
      <c r="C6" s="262" t="s">
        <v>704</v>
      </c>
      <c r="D6" s="262"/>
      <c r="E6" s="263">
        <f>3387*A3</f>
        <v>6096.6</v>
      </c>
    </row>
    <row r="7" spans="1:14" ht="135" customHeight="1" x14ac:dyDescent="0.25">
      <c r="A7" s="266">
        <v>2</v>
      </c>
      <c r="B7" s="261" t="s">
        <v>712</v>
      </c>
      <c r="C7" s="262" t="s">
        <v>705</v>
      </c>
      <c r="D7" s="262"/>
      <c r="E7" s="263">
        <f>4488*A3</f>
        <v>8078.4000000000005</v>
      </c>
    </row>
    <row r="8" spans="1:14" ht="135" customHeight="1" x14ac:dyDescent="0.25">
      <c r="A8" s="266">
        <v>3</v>
      </c>
      <c r="B8" s="261" t="s">
        <v>709</v>
      </c>
      <c r="C8" s="262" t="s">
        <v>706</v>
      </c>
      <c r="D8" s="262"/>
      <c r="E8" s="263">
        <f>3879*A3</f>
        <v>6982.2</v>
      </c>
    </row>
    <row r="9" spans="1:14" ht="135" customHeight="1" x14ac:dyDescent="0.25">
      <c r="A9" s="266">
        <v>4</v>
      </c>
      <c r="B9" s="261" t="s">
        <v>710</v>
      </c>
      <c r="C9" s="262" t="s">
        <v>707</v>
      </c>
      <c r="D9" s="262"/>
      <c r="E9" s="263">
        <f>5163*A3</f>
        <v>9293.4</v>
      </c>
    </row>
    <row r="10" spans="1:14" ht="156.75" x14ac:dyDescent="0.25">
      <c r="A10" s="266">
        <v>5</v>
      </c>
      <c r="B10" s="261" t="s">
        <v>702</v>
      </c>
      <c r="C10" s="260" t="s">
        <v>713</v>
      </c>
      <c r="D10" s="262"/>
      <c r="E10" s="263">
        <f>2544*A3</f>
        <v>4579.2</v>
      </c>
    </row>
    <row r="11" spans="1:14" ht="112.5" customHeight="1" x14ac:dyDescent="0.25">
      <c r="A11" s="266">
        <v>6</v>
      </c>
      <c r="B11" s="261" t="s">
        <v>703</v>
      </c>
      <c r="C11" s="260" t="s">
        <v>714</v>
      </c>
      <c r="D11" s="262"/>
      <c r="E11" s="263">
        <f>2927*A3</f>
        <v>5268.6</v>
      </c>
    </row>
    <row r="12" spans="1:14" ht="157.5" customHeight="1" x14ac:dyDescent="0.25">
      <c r="A12" s="266">
        <v>7</v>
      </c>
      <c r="B12" s="261" t="s">
        <v>715</v>
      </c>
      <c r="C12" s="262" t="s">
        <v>716</v>
      </c>
      <c r="D12" s="262"/>
      <c r="E12" s="263">
        <f>1614*A3</f>
        <v>2905.2000000000003</v>
      </c>
    </row>
  </sheetData>
  <mergeCells count="4">
    <mergeCell ref="A2:E2"/>
    <mergeCell ref="A1:D1"/>
    <mergeCell ref="A4:E4"/>
    <mergeCell ref="B3:E3"/>
  </mergeCells>
  <hyperlinks>
    <hyperlink ref="E1" location="ОГЛАВЛЕНИЕ!R1C1" display="ОГЛАВЛЕНИЕ!R1C1" xr:uid="{1FBA161E-D1AA-4348-9E83-A8CF2897176E}"/>
    <hyperlink ref="A4:E4" location="'Серия &quot;Эталон&quot;'!R57C4" display="Просмотреть проект школьного класса серии &quot;Эталон&quot;" xr:uid="{E561CC33-469E-43CD-9E2B-F1588A30BAC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D6B9-900E-4501-B934-17A4A19C1883}">
  <sheetPr>
    <tabColor theme="5" tint="0.59999389629810485"/>
  </sheetPr>
  <dimension ref="A1:N24"/>
  <sheetViews>
    <sheetView workbookViewId="0">
      <selection activeCell="E1" sqref="E1"/>
    </sheetView>
  </sheetViews>
  <sheetFormatPr defaultRowHeight="14.25" x14ac:dyDescent="0.25"/>
  <cols>
    <col min="1" max="1" width="5.7109375" style="252" customWidth="1"/>
    <col min="2" max="2" width="32" style="264" customWidth="1"/>
    <col min="3" max="3" width="37.28515625" style="264" customWidth="1"/>
    <col min="4" max="4" width="48" style="264" customWidth="1"/>
    <col min="5" max="5" width="13.140625" style="264" customWidth="1"/>
    <col min="6" max="16384" width="9.140625" style="252"/>
  </cols>
  <sheetData>
    <row r="1" spans="1:14" ht="90.95" customHeight="1" x14ac:dyDescent="0.25">
      <c r="A1" s="447"/>
      <c r="B1" s="447"/>
      <c r="C1" s="447"/>
      <c r="D1" s="447"/>
      <c r="E1" s="267" t="s">
        <v>0</v>
      </c>
      <c r="F1" s="254"/>
      <c r="G1" s="254"/>
      <c r="H1" s="254"/>
      <c r="I1" s="254"/>
      <c r="J1" s="254"/>
      <c r="K1" s="254"/>
      <c r="L1" s="254"/>
      <c r="M1" s="254"/>
      <c r="N1" s="254"/>
    </row>
    <row r="2" spans="1:14" x14ac:dyDescent="0.25">
      <c r="A2" s="446" t="s">
        <v>728</v>
      </c>
      <c r="B2" s="446"/>
      <c r="C2" s="446"/>
      <c r="D2" s="446"/>
      <c r="E2" s="446"/>
    </row>
    <row r="3" spans="1:14" ht="18" customHeight="1" x14ac:dyDescent="0.25">
      <c r="A3" s="265">
        <v>1.8</v>
      </c>
      <c r="B3" s="451" t="s">
        <v>732</v>
      </c>
      <c r="C3" s="451"/>
      <c r="D3" s="451"/>
      <c r="E3" s="452"/>
    </row>
    <row r="4" spans="1:14" ht="15" x14ac:dyDescent="0.25">
      <c r="A4" s="448" t="s">
        <v>733</v>
      </c>
      <c r="B4" s="449"/>
      <c r="C4" s="449"/>
      <c r="D4" s="449"/>
      <c r="E4" s="450"/>
    </row>
    <row r="5" spans="1:14" ht="27" customHeight="1" x14ac:dyDescent="0.25">
      <c r="A5" s="257" t="s">
        <v>671</v>
      </c>
      <c r="B5" s="266" t="s">
        <v>672</v>
      </c>
      <c r="C5" s="266" t="s">
        <v>673</v>
      </c>
      <c r="D5" s="266" t="s">
        <v>674</v>
      </c>
      <c r="E5" s="257" t="s">
        <v>675</v>
      </c>
    </row>
    <row r="6" spans="1:14" ht="219" customHeight="1" x14ac:dyDescent="0.25">
      <c r="A6" s="266">
        <v>1</v>
      </c>
      <c r="B6" s="261" t="s">
        <v>735</v>
      </c>
      <c r="C6" s="289" t="s">
        <v>750</v>
      </c>
      <c r="D6" s="262"/>
      <c r="E6" s="291">
        <f>7652*A3</f>
        <v>13773.6</v>
      </c>
    </row>
    <row r="7" spans="1:14" ht="228" x14ac:dyDescent="0.25">
      <c r="A7" s="266">
        <v>2</v>
      </c>
      <c r="B7" s="261" t="s">
        <v>734</v>
      </c>
      <c r="C7" s="289" t="s">
        <v>750</v>
      </c>
      <c r="D7" s="262"/>
      <c r="E7" s="291">
        <f>8931*A3</f>
        <v>16075.800000000001</v>
      </c>
    </row>
    <row r="8" spans="1:14" ht="135" customHeight="1" x14ac:dyDescent="0.25">
      <c r="A8" s="266">
        <v>3</v>
      </c>
      <c r="B8" s="261" t="s">
        <v>736</v>
      </c>
      <c r="C8" s="262" t="s">
        <v>737</v>
      </c>
      <c r="D8" s="262"/>
      <c r="E8" s="291">
        <f>5323*A3</f>
        <v>9581.4</v>
      </c>
    </row>
    <row r="9" spans="1:14" ht="135" customHeight="1" x14ac:dyDescent="0.25">
      <c r="A9" s="266">
        <v>4</v>
      </c>
      <c r="B9" s="261" t="s">
        <v>738</v>
      </c>
      <c r="C9" s="262" t="s">
        <v>737</v>
      </c>
      <c r="D9" s="262"/>
      <c r="E9" s="291">
        <f>5323*A3</f>
        <v>9581.4</v>
      </c>
    </row>
    <row r="10" spans="1:14" ht="119.25" customHeight="1" x14ac:dyDescent="0.25">
      <c r="A10" s="266">
        <v>5</v>
      </c>
      <c r="B10" s="261" t="s">
        <v>739</v>
      </c>
      <c r="C10" s="260" t="s">
        <v>749</v>
      </c>
      <c r="D10" s="262"/>
      <c r="E10" s="291">
        <f>3689*A3</f>
        <v>6640.2</v>
      </c>
    </row>
    <row r="11" spans="1:14" ht="112.5" customHeight="1" x14ac:dyDescent="0.25">
      <c r="A11" s="266">
        <v>6</v>
      </c>
      <c r="B11" s="261" t="s">
        <v>740</v>
      </c>
      <c r="C11" s="260" t="s">
        <v>748</v>
      </c>
      <c r="D11" s="262"/>
      <c r="E11" s="291">
        <f>6498*A3</f>
        <v>11696.4</v>
      </c>
    </row>
    <row r="12" spans="1:14" ht="112.5" customHeight="1" x14ac:dyDescent="0.25">
      <c r="A12" s="266">
        <v>7</v>
      </c>
      <c r="B12" s="261" t="s">
        <v>742</v>
      </c>
      <c r="C12" s="260" t="s">
        <v>741</v>
      </c>
      <c r="D12" s="262"/>
      <c r="E12" s="291">
        <f>6498*A3</f>
        <v>11696.4</v>
      </c>
    </row>
    <row r="13" spans="1:14" ht="112.5" customHeight="1" x14ac:dyDescent="0.25">
      <c r="A13" s="266">
        <v>8</v>
      </c>
      <c r="B13" s="261" t="s">
        <v>743</v>
      </c>
      <c r="C13" s="260" t="s">
        <v>741</v>
      </c>
      <c r="D13" s="262"/>
      <c r="E13" s="291">
        <f>4976*A3</f>
        <v>8956.8000000000011</v>
      </c>
    </row>
    <row r="14" spans="1:14" ht="112.5" customHeight="1" x14ac:dyDescent="0.25">
      <c r="A14" s="266">
        <v>9</v>
      </c>
      <c r="B14" s="261" t="s">
        <v>744</v>
      </c>
      <c r="C14" s="260" t="s">
        <v>748</v>
      </c>
      <c r="D14" s="262"/>
      <c r="E14" s="291">
        <f>4157*A3</f>
        <v>7482.6</v>
      </c>
    </row>
    <row r="15" spans="1:14" ht="112.5" customHeight="1" x14ac:dyDescent="0.25">
      <c r="A15" s="266">
        <v>10</v>
      </c>
      <c r="B15" s="261" t="s">
        <v>747</v>
      </c>
      <c r="C15" s="260" t="s">
        <v>748</v>
      </c>
      <c r="D15" s="262"/>
      <c r="E15" s="291">
        <f>4157*A3</f>
        <v>7482.6</v>
      </c>
    </row>
    <row r="16" spans="1:14" ht="112.5" customHeight="1" x14ac:dyDescent="0.25">
      <c r="A16" s="266">
        <v>11</v>
      </c>
      <c r="B16" s="261" t="s">
        <v>746</v>
      </c>
      <c r="C16" s="260" t="s">
        <v>741</v>
      </c>
      <c r="D16" s="262"/>
      <c r="E16" s="291">
        <f>5451*A3</f>
        <v>9811.8000000000011</v>
      </c>
    </row>
    <row r="17" spans="1:5" ht="112.5" customHeight="1" x14ac:dyDescent="0.25">
      <c r="A17" s="266">
        <v>12</v>
      </c>
      <c r="B17" s="261" t="s">
        <v>745</v>
      </c>
      <c r="C17" s="260" t="s">
        <v>741</v>
      </c>
      <c r="D17" s="262"/>
      <c r="E17" s="291">
        <f>5451*A3</f>
        <v>9811.8000000000011</v>
      </c>
    </row>
    <row r="18" spans="1:5" ht="112.5" customHeight="1" x14ac:dyDescent="0.25">
      <c r="A18" s="266">
        <v>13</v>
      </c>
      <c r="B18" s="261" t="s">
        <v>751</v>
      </c>
      <c r="C18" s="260" t="s">
        <v>741</v>
      </c>
      <c r="D18" s="262"/>
      <c r="E18" s="291">
        <f>6526*A3</f>
        <v>11746.800000000001</v>
      </c>
    </row>
    <row r="19" spans="1:5" ht="112.5" customHeight="1" x14ac:dyDescent="0.25">
      <c r="A19" s="266">
        <v>14</v>
      </c>
      <c r="B19" s="261" t="s">
        <v>752</v>
      </c>
      <c r="C19" s="260" t="s">
        <v>741</v>
      </c>
      <c r="D19" s="262"/>
      <c r="E19" s="291">
        <f>6526*A3</f>
        <v>11746.800000000001</v>
      </c>
    </row>
    <row r="20" spans="1:5" ht="112.5" customHeight="1" x14ac:dyDescent="0.25">
      <c r="A20" s="266">
        <v>15</v>
      </c>
      <c r="B20" s="261" t="s">
        <v>753</v>
      </c>
      <c r="C20" s="260" t="s">
        <v>741</v>
      </c>
      <c r="D20" s="262"/>
      <c r="E20" s="291">
        <f>7682*A3</f>
        <v>13827.6</v>
      </c>
    </row>
    <row r="21" spans="1:5" ht="112.5" customHeight="1" x14ac:dyDescent="0.25">
      <c r="A21" s="266">
        <v>16</v>
      </c>
      <c r="B21" s="261" t="s">
        <v>754</v>
      </c>
      <c r="C21" s="260" t="s">
        <v>741</v>
      </c>
      <c r="D21" s="262"/>
      <c r="E21" s="291">
        <f>7682*A3</f>
        <v>13827.6</v>
      </c>
    </row>
    <row r="22" spans="1:5" ht="112.5" customHeight="1" x14ac:dyDescent="0.25">
      <c r="A22" s="266">
        <v>17</v>
      </c>
      <c r="B22" s="261" t="s">
        <v>743</v>
      </c>
      <c r="C22" s="260" t="s">
        <v>755</v>
      </c>
      <c r="D22" s="262"/>
      <c r="E22" s="291">
        <f>3593*A3</f>
        <v>6467.4000000000005</v>
      </c>
    </row>
    <row r="23" spans="1:5" ht="112.5" customHeight="1" x14ac:dyDescent="0.25">
      <c r="A23" s="266">
        <v>18</v>
      </c>
      <c r="B23" s="261" t="s">
        <v>756</v>
      </c>
      <c r="C23" s="260" t="s">
        <v>755</v>
      </c>
      <c r="D23" s="262"/>
      <c r="E23" s="291">
        <f>3142*A3</f>
        <v>5655.6</v>
      </c>
    </row>
    <row r="24" spans="1:5" ht="112.5" customHeight="1" x14ac:dyDescent="0.25">
      <c r="A24" s="266">
        <v>19</v>
      </c>
      <c r="B24" s="261" t="s">
        <v>757</v>
      </c>
      <c r="C24" s="260" t="s">
        <v>755</v>
      </c>
      <c r="D24" s="262"/>
      <c r="E24" s="291">
        <f>2673*A3</f>
        <v>4811.4000000000005</v>
      </c>
    </row>
  </sheetData>
  <mergeCells count="4">
    <mergeCell ref="A1:D1"/>
    <mergeCell ref="A2:E2"/>
    <mergeCell ref="B3:E3"/>
    <mergeCell ref="A4:E4"/>
  </mergeCells>
  <hyperlinks>
    <hyperlink ref="E1" location="ОГЛАВЛЕНИЕ!R1C1" display="ОГЛАВЛЕНИЕ!R1C1" xr:uid="{AF9F3A1D-75B1-47C2-BDE1-6589871D018D}"/>
    <hyperlink ref="A4:E4" location="'Серия &quot;Оптима&quot;'!R45C3" display="Просмотреть проект школьного класса серии &quot;Оптима&quot;" xr:uid="{68694BDA-7C06-44DB-81BB-DC8C5AF6BCF1}"/>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FF64E-1755-4EC4-B485-C446075FB402}">
  <sheetPr>
    <tabColor theme="5" tint="0.59999389629810485"/>
  </sheetPr>
  <dimension ref="A1:CB93"/>
  <sheetViews>
    <sheetView showGridLines="0" zoomScaleNormal="100" zoomScaleSheetLayoutView="115" workbookViewId="0"/>
  </sheetViews>
  <sheetFormatPr defaultRowHeight="8.25" x14ac:dyDescent="0.25"/>
  <cols>
    <col min="1" max="1" width="0.28515625" style="72" customWidth="1"/>
    <col min="2" max="5" width="1.7109375" style="72" customWidth="1"/>
    <col min="6" max="6" width="2.28515625" style="72" customWidth="1"/>
    <col min="7" max="10" width="1.7109375" style="72" customWidth="1"/>
    <col min="11" max="11" width="0.28515625" style="72" customWidth="1"/>
    <col min="12" max="15" width="1.7109375" style="72" customWidth="1"/>
    <col min="16" max="16" width="2.42578125" style="72" customWidth="1"/>
    <col min="17" max="20" width="1.7109375" style="72" customWidth="1"/>
    <col min="21" max="21" width="0.28515625" style="72" customWidth="1"/>
    <col min="22" max="25" width="1.7109375" style="72" customWidth="1"/>
    <col min="26" max="26" width="2.5703125" style="72" customWidth="1"/>
    <col min="27" max="28" width="1.7109375" style="72" customWidth="1"/>
    <col min="29" max="29" width="1.42578125" style="72" customWidth="1"/>
    <col min="30" max="30" width="1.140625" style="72" customWidth="1"/>
    <col min="31" max="31" width="0.28515625" style="72" customWidth="1"/>
    <col min="32" max="35" width="1.7109375" style="72" customWidth="1"/>
    <col min="36" max="36" width="2.7109375" style="72" customWidth="1"/>
    <col min="37" max="38" width="1.7109375" style="72" customWidth="1"/>
    <col min="39" max="39" width="3.140625" style="72" customWidth="1"/>
    <col min="40" max="40" width="2.85546875" style="72" customWidth="1"/>
    <col min="41" max="41" width="0.28515625" style="72" customWidth="1"/>
    <col min="42" max="45" width="1.7109375" style="72" customWidth="1"/>
    <col min="46" max="46" width="2.85546875" style="72" customWidth="1"/>
    <col min="47" max="48" width="1.7109375" style="72" customWidth="1"/>
    <col min="49" max="49" width="2.5703125" style="72" customWidth="1"/>
    <col min="50" max="50" width="4.28515625" style="72" customWidth="1"/>
    <col min="51" max="51" width="0.28515625" style="72" customWidth="1"/>
    <col min="52" max="55" width="1.7109375" style="72" customWidth="1"/>
    <col min="56" max="56" width="2.7109375" style="72" customWidth="1"/>
    <col min="57" max="58" width="1.7109375" style="72" customWidth="1"/>
    <col min="59" max="59" width="2.42578125" style="72" customWidth="1"/>
    <col min="60" max="60" width="4" style="72" customWidth="1"/>
    <col min="61" max="61" width="0.28515625" style="72" customWidth="1"/>
    <col min="62" max="65" width="1.7109375" style="72" customWidth="1"/>
    <col min="66" max="66" width="2.28515625" style="72" customWidth="1"/>
    <col min="67" max="68" width="1.7109375" style="72" customWidth="1"/>
    <col min="69" max="69" width="2.5703125" style="72" customWidth="1"/>
    <col min="70" max="70" width="4" style="72" customWidth="1"/>
    <col min="71" max="71" width="0.28515625" style="72" customWidth="1"/>
    <col min="72" max="80" width="1.7109375" style="72" customWidth="1"/>
    <col min="81" max="256" width="9.140625" style="72"/>
    <col min="257" max="257" width="0.28515625" style="72" customWidth="1"/>
    <col min="258" max="266" width="1.7109375" style="72" customWidth="1"/>
    <col min="267" max="267" width="0.28515625" style="72" customWidth="1"/>
    <col min="268" max="276" width="1.7109375" style="72" customWidth="1"/>
    <col min="277" max="277" width="0.28515625" style="72" customWidth="1"/>
    <col min="278" max="286" width="1.7109375" style="72" customWidth="1"/>
    <col min="287" max="287" width="0.28515625" style="72" customWidth="1"/>
    <col min="288" max="296" width="1.7109375" style="72" customWidth="1"/>
    <col min="297" max="297" width="0.28515625" style="72" customWidth="1"/>
    <col min="298" max="306" width="1.7109375" style="72" customWidth="1"/>
    <col min="307" max="307" width="0.28515625" style="72" customWidth="1"/>
    <col min="308" max="316" width="1.7109375" style="72" customWidth="1"/>
    <col min="317" max="317" width="0.28515625" style="72" customWidth="1"/>
    <col min="318" max="326" width="1.7109375" style="72" customWidth="1"/>
    <col min="327" max="327" width="0.28515625" style="72" customWidth="1"/>
    <col min="328" max="336" width="1.7109375" style="72" customWidth="1"/>
    <col min="337" max="512" width="9.140625" style="72"/>
    <col min="513" max="513" width="0.28515625" style="72" customWidth="1"/>
    <col min="514" max="522" width="1.7109375" style="72" customWidth="1"/>
    <col min="523" max="523" width="0.28515625" style="72" customWidth="1"/>
    <col min="524" max="532" width="1.7109375" style="72" customWidth="1"/>
    <col min="533" max="533" width="0.28515625" style="72" customWidth="1"/>
    <col min="534" max="542" width="1.7109375" style="72" customWidth="1"/>
    <col min="543" max="543" width="0.28515625" style="72" customWidth="1"/>
    <col min="544" max="552" width="1.7109375" style="72" customWidth="1"/>
    <col min="553" max="553" width="0.28515625" style="72" customWidth="1"/>
    <col min="554" max="562" width="1.7109375" style="72" customWidth="1"/>
    <col min="563" max="563" width="0.28515625" style="72" customWidth="1"/>
    <col min="564" max="572" width="1.7109375" style="72" customWidth="1"/>
    <col min="573" max="573" width="0.28515625" style="72" customWidth="1"/>
    <col min="574" max="582" width="1.7109375" style="72" customWidth="1"/>
    <col min="583" max="583" width="0.28515625" style="72" customWidth="1"/>
    <col min="584" max="592" width="1.7109375" style="72" customWidth="1"/>
    <col min="593" max="768" width="9.140625" style="72"/>
    <col min="769" max="769" width="0.28515625" style="72" customWidth="1"/>
    <col min="770" max="778" width="1.7109375" style="72" customWidth="1"/>
    <col min="779" max="779" width="0.28515625" style="72" customWidth="1"/>
    <col min="780" max="788" width="1.7109375" style="72" customWidth="1"/>
    <col min="789" max="789" width="0.28515625" style="72" customWidth="1"/>
    <col min="790" max="798" width="1.7109375" style="72" customWidth="1"/>
    <col min="799" max="799" width="0.28515625" style="72" customWidth="1"/>
    <col min="800" max="808" width="1.7109375" style="72" customWidth="1"/>
    <col min="809" max="809" width="0.28515625" style="72" customWidth="1"/>
    <col min="810" max="818" width="1.7109375" style="72" customWidth="1"/>
    <col min="819" max="819" width="0.28515625" style="72" customWidth="1"/>
    <col min="820" max="828" width="1.7109375" style="72" customWidth="1"/>
    <col min="829" max="829" width="0.28515625" style="72" customWidth="1"/>
    <col min="830" max="838" width="1.7109375" style="72" customWidth="1"/>
    <col min="839" max="839" width="0.28515625" style="72" customWidth="1"/>
    <col min="840" max="848" width="1.7109375" style="72" customWidth="1"/>
    <col min="849" max="1024" width="9.140625" style="72"/>
    <col min="1025" max="1025" width="0.28515625" style="72" customWidth="1"/>
    <col min="1026" max="1034" width="1.7109375" style="72" customWidth="1"/>
    <col min="1035" max="1035" width="0.28515625" style="72" customWidth="1"/>
    <col min="1036" max="1044" width="1.7109375" style="72" customWidth="1"/>
    <col min="1045" max="1045" width="0.28515625" style="72" customWidth="1"/>
    <col min="1046" max="1054" width="1.7109375" style="72" customWidth="1"/>
    <col min="1055" max="1055" width="0.28515625" style="72" customWidth="1"/>
    <col min="1056" max="1064" width="1.7109375" style="72" customWidth="1"/>
    <col min="1065" max="1065" width="0.28515625" style="72" customWidth="1"/>
    <col min="1066" max="1074" width="1.7109375" style="72" customWidth="1"/>
    <col min="1075" max="1075" width="0.28515625" style="72" customWidth="1"/>
    <col min="1076" max="1084" width="1.7109375" style="72" customWidth="1"/>
    <col min="1085" max="1085" width="0.28515625" style="72" customWidth="1"/>
    <col min="1086" max="1094" width="1.7109375" style="72" customWidth="1"/>
    <col min="1095" max="1095" width="0.28515625" style="72" customWidth="1"/>
    <col min="1096" max="1104" width="1.7109375" style="72" customWidth="1"/>
    <col min="1105" max="1280" width="9.140625" style="72"/>
    <col min="1281" max="1281" width="0.28515625" style="72" customWidth="1"/>
    <col min="1282" max="1290" width="1.7109375" style="72" customWidth="1"/>
    <col min="1291" max="1291" width="0.28515625" style="72" customWidth="1"/>
    <col min="1292" max="1300" width="1.7109375" style="72" customWidth="1"/>
    <col min="1301" max="1301" width="0.28515625" style="72" customWidth="1"/>
    <col min="1302" max="1310" width="1.7109375" style="72" customWidth="1"/>
    <col min="1311" max="1311" width="0.28515625" style="72" customWidth="1"/>
    <col min="1312" max="1320" width="1.7109375" style="72" customWidth="1"/>
    <col min="1321" max="1321" width="0.28515625" style="72" customWidth="1"/>
    <col min="1322" max="1330" width="1.7109375" style="72" customWidth="1"/>
    <col min="1331" max="1331" width="0.28515625" style="72" customWidth="1"/>
    <col min="1332" max="1340" width="1.7109375" style="72" customWidth="1"/>
    <col min="1341" max="1341" width="0.28515625" style="72" customWidth="1"/>
    <col min="1342" max="1350" width="1.7109375" style="72" customWidth="1"/>
    <col min="1351" max="1351" width="0.28515625" style="72" customWidth="1"/>
    <col min="1352" max="1360" width="1.7109375" style="72" customWidth="1"/>
    <col min="1361" max="1536" width="9.140625" style="72"/>
    <col min="1537" max="1537" width="0.28515625" style="72" customWidth="1"/>
    <col min="1538" max="1546" width="1.7109375" style="72" customWidth="1"/>
    <col min="1547" max="1547" width="0.28515625" style="72" customWidth="1"/>
    <col min="1548" max="1556" width="1.7109375" style="72" customWidth="1"/>
    <col min="1557" max="1557" width="0.28515625" style="72" customWidth="1"/>
    <col min="1558" max="1566" width="1.7109375" style="72" customWidth="1"/>
    <col min="1567" max="1567" width="0.28515625" style="72" customWidth="1"/>
    <col min="1568" max="1576" width="1.7109375" style="72" customWidth="1"/>
    <col min="1577" max="1577" width="0.28515625" style="72" customWidth="1"/>
    <col min="1578" max="1586" width="1.7109375" style="72" customWidth="1"/>
    <col min="1587" max="1587" width="0.28515625" style="72" customWidth="1"/>
    <col min="1588" max="1596" width="1.7109375" style="72" customWidth="1"/>
    <col min="1597" max="1597" width="0.28515625" style="72" customWidth="1"/>
    <col min="1598" max="1606" width="1.7109375" style="72" customWidth="1"/>
    <col min="1607" max="1607" width="0.28515625" style="72" customWidth="1"/>
    <col min="1608" max="1616" width="1.7109375" style="72" customWidth="1"/>
    <col min="1617" max="1792" width="9.140625" style="72"/>
    <col min="1793" max="1793" width="0.28515625" style="72" customWidth="1"/>
    <col min="1794" max="1802" width="1.7109375" style="72" customWidth="1"/>
    <col min="1803" max="1803" width="0.28515625" style="72" customWidth="1"/>
    <col min="1804" max="1812" width="1.7109375" style="72" customWidth="1"/>
    <col min="1813" max="1813" width="0.28515625" style="72" customWidth="1"/>
    <col min="1814" max="1822" width="1.7109375" style="72" customWidth="1"/>
    <col min="1823" max="1823" width="0.28515625" style="72" customWidth="1"/>
    <col min="1824" max="1832" width="1.7109375" style="72" customWidth="1"/>
    <col min="1833" max="1833" width="0.28515625" style="72" customWidth="1"/>
    <col min="1834" max="1842" width="1.7109375" style="72" customWidth="1"/>
    <col min="1843" max="1843" width="0.28515625" style="72" customWidth="1"/>
    <col min="1844" max="1852" width="1.7109375" style="72" customWidth="1"/>
    <col min="1853" max="1853" width="0.28515625" style="72" customWidth="1"/>
    <col min="1854" max="1862" width="1.7109375" style="72" customWidth="1"/>
    <col min="1863" max="1863" width="0.28515625" style="72" customWidth="1"/>
    <col min="1864" max="1872" width="1.7109375" style="72" customWidth="1"/>
    <col min="1873" max="2048" width="9.140625" style="72"/>
    <col min="2049" max="2049" width="0.28515625" style="72" customWidth="1"/>
    <col min="2050" max="2058" width="1.7109375" style="72" customWidth="1"/>
    <col min="2059" max="2059" width="0.28515625" style="72" customWidth="1"/>
    <col min="2060" max="2068" width="1.7109375" style="72" customWidth="1"/>
    <col min="2069" max="2069" width="0.28515625" style="72" customWidth="1"/>
    <col min="2070" max="2078" width="1.7109375" style="72" customWidth="1"/>
    <col min="2079" max="2079" width="0.28515625" style="72" customWidth="1"/>
    <col min="2080" max="2088" width="1.7109375" style="72" customWidth="1"/>
    <col min="2089" max="2089" width="0.28515625" style="72" customWidth="1"/>
    <col min="2090" max="2098" width="1.7109375" style="72" customWidth="1"/>
    <col min="2099" max="2099" width="0.28515625" style="72" customWidth="1"/>
    <col min="2100" max="2108" width="1.7109375" style="72" customWidth="1"/>
    <col min="2109" max="2109" width="0.28515625" style="72" customWidth="1"/>
    <col min="2110" max="2118" width="1.7109375" style="72" customWidth="1"/>
    <col min="2119" max="2119" width="0.28515625" style="72" customWidth="1"/>
    <col min="2120" max="2128" width="1.7109375" style="72" customWidth="1"/>
    <col min="2129" max="2304" width="9.140625" style="72"/>
    <col min="2305" max="2305" width="0.28515625" style="72" customWidth="1"/>
    <col min="2306" max="2314" width="1.7109375" style="72" customWidth="1"/>
    <col min="2315" max="2315" width="0.28515625" style="72" customWidth="1"/>
    <col min="2316" max="2324" width="1.7109375" style="72" customWidth="1"/>
    <col min="2325" max="2325" width="0.28515625" style="72" customWidth="1"/>
    <col min="2326" max="2334" width="1.7109375" style="72" customWidth="1"/>
    <col min="2335" max="2335" width="0.28515625" style="72" customWidth="1"/>
    <col min="2336" max="2344" width="1.7109375" style="72" customWidth="1"/>
    <col min="2345" max="2345" width="0.28515625" style="72" customWidth="1"/>
    <col min="2346" max="2354" width="1.7109375" style="72" customWidth="1"/>
    <col min="2355" max="2355" width="0.28515625" style="72" customWidth="1"/>
    <col min="2356" max="2364" width="1.7109375" style="72" customWidth="1"/>
    <col min="2365" max="2365" width="0.28515625" style="72" customWidth="1"/>
    <col min="2366" max="2374" width="1.7109375" style="72" customWidth="1"/>
    <col min="2375" max="2375" width="0.28515625" style="72" customWidth="1"/>
    <col min="2376" max="2384" width="1.7109375" style="72" customWidth="1"/>
    <col min="2385" max="2560" width="9.140625" style="72"/>
    <col min="2561" max="2561" width="0.28515625" style="72" customWidth="1"/>
    <col min="2562" max="2570" width="1.7109375" style="72" customWidth="1"/>
    <col min="2571" max="2571" width="0.28515625" style="72" customWidth="1"/>
    <col min="2572" max="2580" width="1.7109375" style="72" customWidth="1"/>
    <col min="2581" max="2581" width="0.28515625" style="72" customWidth="1"/>
    <col min="2582" max="2590" width="1.7109375" style="72" customWidth="1"/>
    <col min="2591" max="2591" width="0.28515625" style="72" customWidth="1"/>
    <col min="2592" max="2600" width="1.7109375" style="72" customWidth="1"/>
    <col min="2601" max="2601" width="0.28515625" style="72" customWidth="1"/>
    <col min="2602" max="2610" width="1.7109375" style="72" customWidth="1"/>
    <col min="2611" max="2611" width="0.28515625" style="72" customWidth="1"/>
    <col min="2612" max="2620" width="1.7109375" style="72" customWidth="1"/>
    <col min="2621" max="2621" width="0.28515625" style="72" customWidth="1"/>
    <col min="2622" max="2630" width="1.7109375" style="72" customWidth="1"/>
    <col min="2631" max="2631" width="0.28515625" style="72" customWidth="1"/>
    <col min="2632" max="2640" width="1.7109375" style="72" customWidth="1"/>
    <col min="2641" max="2816" width="9.140625" style="72"/>
    <col min="2817" max="2817" width="0.28515625" style="72" customWidth="1"/>
    <col min="2818" max="2826" width="1.7109375" style="72" customWidth="1"/>
    <col min="2827" max="2827" width="0.28515625" style="72" customWidth="1"/>
    <col min="2828" max="2836" width="1.7109375" style="72" customWidth="1"/>
    <col min="2837" max="2837" width="0.28515625" style="72" customWidth="1"/>
    <col min="2838" max="2846" width="1.7109375" style="72" customWidth="1"/>
    <col min="2847" max="2847" width="0.28515625" style="72" customWidth="1"/>
    <col min="2848" max="2856" width="1.7109375" style="72" customWidth="1"/>
    <col min="2857" max="2857" width="0.28515625" style="72" customWidth="1"/>
    <col min="2858" max="2866" width="1.7109375" style="72" customWidth="1"/>
    <col min="2867" max="2867" width="0.28515625" style="72" customWidth="1"/>
    <col min="2868" max="2876" width="1.7109375" style="72" customWidth="1"/>
    <col min="2877" max="2877" width="0.28515625" style="72" customWidth="1"/>
    <col min="2878" max="2886" width="1.7109375" style="72" customWidth="1"/>
    <col min="2887" max="2887" width="0.28515625" style="72" customWidth="1"/>
    <col min="2888" max="2896" width="1.7109375" style="72" customWidth="1"/>
    <col min="2897" max="3072" width="9.140625" style="72"/>
    <col min="3073" max="3073" width="0.28515625" style="72" customWidth="1"/>
    <col min="3074" max="3082" width="1.7109375" style="72" customWidth="1"/>
    <col min="3083" max="3083" width="0.28515625" style="72" customWidth="1"/>
    <col min="3084" max="3092" width="1.7109375" style="72" customWidth="1"/>
    <col min="3093" max="3093" width="0.28515625" style="72" customWidth="1"/>
    <col min="3094" max="3102" width="1.7109375" style="72" customWidth="1"/>
    <col min="3103" max="3103" width="0.28515625" style="72" customWidth="1"/>
    <col min="3104" max="3112" width="1.7109375" style="72" customWidth="1"/>
    <col min="3113" max="3113" width="0.28515625" style="72" customWidth="1"/>
    <col min="3114" max="3122" width="1.7109375" style="72" customWidth="1"/>
    <col min="3123" max="3123" width="0.28515625" style="72" customWidth="1"/>
    <col min="3124" max="3132" width="1.7109375" style="72" customWidth="1"/>
    <col min="3133" max="3133" width="0.28515625" style="72" customWidth="1"/>
    <col min="3134" max="3142" width="1.7109375" style="72" customWidth="1"/>
    <col min="3143" max="3143" width="0.28515625" style="72" customWidth="1"/>
    <col min="3144" max="3152" width="1.7109375" style="72" customWidth="1"/>
    <col min="3153" max="3328" width="9.140625" style="72"/>
    <col min="3329" max="3329" width="0.28515625" style="72" customWidth="1"/>
    <col min="3330" max="3338" width="1.7109375" style="72" customWidth="1"/>
    <col min="3339" max="3339" width="0.28515625" style="72" customWidth="1"/>
    <col min="3340" max="3348" width="1.7109375" style="72" customWidth="1"/>
    <col min="3349" max="3349" width="0.28515625" style="72" customWidth="1"/>
    <col min="3350" max="3358" width="1.7109375" style="72" customWidth="1"/>
    <col min="3359" max="3359" width="0.28515625" style="72" customWidth="1"/>
    <col min="3360" max="3368" width="1.7109375" style="72" customWidth="1"/>
    <col min="3369" max="3369" width="0.28515625" style="72" customWidth="1"/>
    <col min="3370" max="3378" width="1.7109375" style="72" customWidth="1"/>
    <col min="3379" max="3379" width="0.28515625" style="72" customWidth="1"/>
    <col min="3380" max="3388" width="1.7109375" style="72" customWidth="1"/>
    <col min="3389" max="3389" width="0.28515625" style="72" customWidth="1"/>
    <col min="3390" max="3398" width="1.7109375" style="72" customWidth="1"/>
    <col min="3399" max="3399" width="0.28515625" style="72" customWidth="1"/>
    <col min="3400" max="3408" width="1.7109375" style="72" customWidth="1"/>
    <col min="3409" max="3584" width="9.140625" style="72"/>
    <col min="3585" max="3585" width="0.28515625" style="72" customWidth="1"/>
    <col min="3586" max="3594" width="1.7109375" style="72" customWidth="1"/>
    <col min="3595" max="3595" width="0.28515625" style="72" customWidth="1"/>
    <col min="3596" max="3604" width="1.7109375" style="72" customWidth="1"/>
    <col min="3605" max="3605" width="0.28515625" style="72" customWidth="1"/>
    <col min="3606" max="3614" width="1.7109375" style="72" customWidth="1"/>
    <col min="3615" max="3615" width="0.28515625" style="72" customWidth="1"/>
    <col min="3616" max="3624" width="1.7109375" style="72" customWidth="1"/>
    <col min="3625" max="3625" width="0.28515625" style="72" customWidth="1"/>
    <col min="3626" max="3634" width="1.7109375" style="72" customWidth="1"/>
    <col min="3635" max="3635" width="0.28515625" style="72" customWidth="1"/>
    <col min="3636" max="3644" width="1.7109375" style="72" customWidth="1"/>
    <col min="3645" max="3645" width="0.28515625" style="72" customWidth="1"/>
    <col min="3646" max="3654" width="1.7109375" style="72" customWidth="1"/>
    <col min="3655" max="3655" width="0.28515625" style="72" customWidth="1"/>
    <col min="3656" max="3664" width="1.7109375" style="72" customWidth="1"/>
    <col min="3665" max="3840" width="9.140625" style="72"/>
    <col min="3841" max="3841" width="0.28515625" style="72" customWidth="1"/>
    <col min="3842" max="3850" width="1.7109375" style="72" customWidth="1"/>
    <col min="3851" max="3851" width="0.28515625" style="72" customWidth="1"/>
    <col min="3852" max="3860" width="1.7109375" style="72" customWidth="1"/>
    <col min="3861" max="3861" width="0.28515625" style="72" customWidth="1"/>
    <col min="3862" max="3870" width="1.7109375" style="72" customWidth="1"/>
    <col min="3871" max="3871" width="0.28515625" style="72" customWidth="1"/>
    <col min="3872" max="3880" width="1.7109375" style="72" customWidth="1"/>
    <col min="3881" max="3881" width="0.28515625" style="72" customWidth="1"/>
    <col min="3882" max="3890" width="1.7109375" style="72" customWidth="1"/>
    <col min="3891" max="3891" width="0.28515625" style="72" customWidth="1"/>
    <col min="3892" max="3900" width="1.7109375" style="72" customWidth="1"/>
    <col min="3901" max="3901" width="0.28515625" style="72" customWidth="1"/>
    <col min="3902" max="3910" width="1.7109375" style="72" customWidth="1"/>
    <col min="3911" max="3911" width="0.28515625" style="72" customWidth="1"/>
    <col min="3912" max="3920" width="1.7109375" style="72" customWidth="1"/>
    <col min="3921" max="4096" width="9.140625" style="72"/>
    <col min="4097" max="4097" width="0.28515625" style="72" customWidth="1"/>
    <col min="4098" max="4106" width="1.7109375" style="72" customWidth="1"/>
    <col min="4107" max="4107" width="0.28515625" style="72" customWidth="1"/>
    <col min="4108" max="4116" width="1.7109375" style="72" customWidth="1"/>
    <col min="4117" max="4117" width="0.28515625" style="72" customWidth="1"/>
    <col min="4118" max="4126" width="1.7109375" style="72" customWidth="1"/>
    <col min="4127" max="4127" width="0.28515625" style="72" customWidth="1"/>
    <col min="4128" max="4136" width="1.7109375" style="72" customWidth="1"/>
    <col min="4137" max="4137" width="0.28515625" style="72" customWidth="1"/>
    <col min="4138" max="4146" width="1.7109375" style="72" customWidth="1"/>
    <col min="4147" max="4147" width="0.28515625" style="72" customWidth="1"/>
    <col min="4148" max="4156" width="1.7109375" style="72" customWidth="1"/>
    <col min="4157" max="4157" width="0.28515625" style="72" customWidth="1"/>
    <col min="4158" max="4166" width="1.7109375" style="72" customWidth="1"/>
    <col min="4167" max="4167" width="0.28515625" style="72" customWidth="1"/>
    <col min="4168" max="4176" width="1.7109375" style="72" customWidth="1"/>
    <col min="4177" max="4352" width="9.140625" style="72"/>
    <col min="4353" max="4353" width="0.28515625" style="72" customWidth="1"/>
    <col min="4354" max="4362" width="1.7109375" style="72" customWidth="1"/>
    <col min="4363" max="4363" width="0.28515625" style="72" customWidth="1"/>
    <col min="4364" max="4372" width="1.7109375" style="72" customWidth="1"/>
    <col min="4373" max="4373" width="0.28515625" style="72" customWidth="1"/>
    <col min="4374" max="4382" width="1.7109375" style="72" customWidth="1"/>
    <col min="4383" max="4383" width="0.28515625" style="72" customWidth="1"/>
    <col min="4384" max="4392" width="1.7109375" style="72" customWidth="1"/>
    <col min="4393" max="4393" width="0.28515625" style="72" customWidth="1"/>
    <col min="4394" max="4402" width="1.7109375" style="72" customWidth="1"/>
    <col min="4403" max="4403" width="0.28515625" style="72" customWidth="1"/>
    <col min="4404" max="4412" width="1.7109375" style="72" customWidth="1"/>
    <col min="4413" max="4413" width="0.28515625" style="72" customWidth="1"/>
    <col min="4414" max="4422" width="1.7109375" style="72" customWidth="1"/>
    <col min="4423" max="4423" width="0.28515625" style="72" customWidth="1"/>
    <col min="4424" max="4432" width="1.7109375" style="72" customWidth="1"/>
    <col min="4433" max="4608" width="9.140625" style="72"/>
    <col min="4609" max="4609" width="0.28515625" style="72" customWidth="1"/>
    <col min="4610" max="4618" width="1.7109375" style="72" customWidth="1"/>
    <col min="4619" max="4619" width="0.28515625" style="72" customWidth="1"/>
    <col min="4620" max="4628" width="1.7109375" style="72" customWidth="1"/>
    <col min="4629" max="4629" width="0.28515625" style="72" customWidth="1"/>
    <col min="4630" max="4638" width="1.7109375" style="72" customWidth="1"/>
    <col min="4639" max="4639" width="0.28515625" style="72" customWidth="1"/>
    <col min="4640" max="4648" width="1.7109375" style="72" customWidth="1"/>
    <col min="4649" max="4649" width="0.28515625" style="72" customWidth="1"/>
    <col min="4650" max="4658" width="1.7109375" style="72" customWidth="1"/>
    <col min="4659" max="4659" width="0.28515625" style="72" customWidth="1"/>
    <col min="4660" max="4668" width="1.7109375" style="72" customWidth="1"/>
    <col min="4669" max="4669" width="0.28515625" style="72" customWidth="1"/>
    <col min="4670" max="4678" width="1.7109375" style="72" customWidth="1"/>
    <col min="4679" max="4679" width="0.28515625" style="72" customWidth="1"/>
    <col min="4680" max="4688" width="1.7109375" style="72" customWidth="1"/>
    <col min="4689" max="4864" width="9.140625" style="72"/>
    <col min="4865" max="4865" width="0.28515625" style="72" customWidth="1"/>
    <col min="4866" max="4874" width="1.7109375" style="72" customWidth="1"/>
    <col min="4875" max="4875" width="0.28515625" style="72" customWidth="1"/>
    <col min="4876" max="4884" width="1.7109375" style="72" customWidth="1"/>
    <col min="4885" max="4885" width="0.28515625" style="72" customWidth="1"/>
    <col min="4886" max="4894" width="1.7109375" style="72" customWidth="1"/>
    <col min="4895" max="4895" width="0.28515625" style="72" customWidth="1"/>
    <col min="4896" max="4904" width="1.7109375" style="72" customWidth="1"/>
    <col min="4905" max="4905" width="0.28515625" style="72" customWidth="1"/>
    <col min="4906" max="4914" width="1.7109375" style="72" customWidth="1"/>
    <col min="4915" max="4915" width="0.28515625" style="72" customWidth="1"/>
    <col min="4916" max="4924" width="1.7109375" style="72" customWidth="1"/>
    <col min="4925" max="4925" width="0.28515625" style="72" customWidth="1"/>
    <col min="4926" max="4934" width="1.7109375" style="72" customWidth="1"/>
    <col min="4935" max="4935" width="0.28515625" style="72" customWidth="1"/>
    <col min="4936" max="4944" width="1.7109375" style="72" customWidth="1"/>
    <col min="4945" max="5120" width="9.140625" style="72"/>
    <col min="5121" max="5121" width="0.28515625" style="72" customWidth="1"/>
    <col min="5122" max="5130" width="1.7109375" style="72" customWidth="1"/>
    <col min="5131" max="5131" width="0.28515625" style="72" customWidth="1"/>
    <col min="5132" max="5140" width="1.7109375" style="72" customWidth="1"/>
    <col min="5141" max="5141" width="0.28515625" style="72" customWidth="1"/>
    <col min="5142" max="5150" width="1.7109375" style="72" customWidth="1"/>
    <col min="5151" max="5151" width="0.28515625" style="72" customWidth="1"/>
    <col min="5152" max="5160" width="1.7109375" style="72" customWidth="1"/>
    <col min="5161" max="5161" width="0.28515625" style="72" customWidth="1"/>
    <col min="5162" max="5170" width="1.7109375" style="72" customWidth="1"/>
    <col min="5171" max="5171" width="0.28515625" style="72" customWidth="1"/>
    <col min="5172" max="5180" width="1.7109375" style="72" customWidth="1"/>
    <col min="5181" max="5181" width="0.28515625" style="72" customWidth="1"/>
    <col min="5182" max="5190" width="1.7109375" style="72" customWidth="1"/>
    <col min="5191" max="5191" width="0.28515625" style="72" customWidth="1"/>
    <col min="5192" max="5200" width="1.7109375" style="72" customWidth="1"/>
    <col min="5201" max="5376" width="9.140625" style="72"/>
    <col min="5377" max="5377" width="0.28515625" style="72" customWidth="1"/>
    <col min="5378" max="5386" width="1.7109375" style="72" customWidth="1"/>
    <col min="5387" max="5387" width="0.28515625" style="72" customWidth="1"/>
    <col min="5388" max="5396" width="1.7109375" style="72" customWidth="1"/>
    <col min="5397" max="5397" width="0.28515625" style="72" customWidth="1"/>
    <col min="5398" max="5406" width="1.7109375" style="72" customWidth="1"/>
    <col min="5407" max="5407" width="0.28515625" style="72" customWidth="1"/>
    <col min="5408" max="5416" width="1.7109375" style="72" customWidth="1"/>
    <col min="5417" max="5417" width="0.28515625" style="72" customWidth="1"/>
    <col min="5418" max="5426" width="1.7109375" style="72" customWidth="1"/>
    <col min="5427" max="5427" width="0.28515625" style="72" customWidth="1"/>
    <col min="5428" max="5436" width="1.7109375" style="72" customWidth="1"/>
    <col min="5437" max="5437" width="0.28515625" style="72" customWidth="1"/>
    <col min="5438" max="5446" width="1.7109375" style="72" customWidth="1"/>
    <col min="5447" max="5447" width="0.28515625" style="72" customWidth="1"/>
    <col min="5448" max="5456" width="1.7109375" style="72" customWidth="1"/>
    <col min="5457" max="5632" width="9.140625" style="72"/>
    <col min="5633" max="5633" width="0.28515625" style="72" customWidth="1"/>
    <col min="5634" max="5642" width="1.7109375" style="72" customWidth="1"/>
    <col min="5643" max="5643" width="0.28515625" style="72" customWidth="1"/>
    <col min="5644" max="5652" width="1.7109375" style="72" customWidth="1"/>
    <col min="5653" max="5653" width="0.28515625" style="72" customWidth="1"/>
    <col min="5654" max="5662" width="1.7109375" style="72" customWidth="1"/>
    <col min="5663" max="5663" width="0.28515625" style="72" customWidth="1"/>
    <col min="5664" max="5672" width="1.7109375" style="72" customWidth="1"/>
    <col min="5673" max="5673" width="0.28515625" style="72" customWidth="1"/>
    <col min="5674" max="5682" width="1.7109375" style="72" customWidth="1"/>
    <col min="5683" max="5683" width="0.28515625" style="72" customWidth="1"/>
    <col min="5684" max="5692" width="1.7109375" style="72" customWidth="1"/>
    <col min="5693" max="5693" width="0.28515625" style="72" customWidth="1"/>
    <col min="5694" max="5702" width="1.7109375" style="72" customWidth="1"/>
    <col min="5703" max="5703" width="0.28515625" style="72" customWidth="1"/>
    <col min="5704" max="5712" width="1.7109375" style="72" customWidth="1"/>
    <col min="5713" max="5888" width="9.140625" style="72"/>
    <col min="5889" max="5889" width="0.28515625" style="72" customWidth="1"/>
    <col min="5890" max="5898" width="1.7109375" style="72" customWidth="1"/>
    <col min="5899" max="5899" width="0.28515625" style="72" customWidth="1"/>
    <col min="5900" max="5908" width="1.7109375" style="72" customWidth="1"/>
    <col min="5909" max="5909" width="0.28515625" style="72" customWidth="1"/>
    <col min="5910" max="5918" width="1.7109375" style="72" customWidth="1"/>
    <col min="5919" max="5919" width="0.28515625" style="72" customWidth="1"/>
    <col min="5920" max="5928" width="1.7109375" style="72" customWidth="1"/>
    <col min="5929" max="5929" width="0.28515625" style="72" customWidth="1"/>
    <col min="5930" max="5938" width="1.7109375" style="72" customWidth="1"/>
    <col min="5939" max="5939" width="0.28515625" style="72" customWidth="1"/>
    <col min="5940" max="5948" width="1.7109375" style="72" customWidth="1"/>
    <col min="5949" max="5949" width="0.28515625" style="72" customWidth="1"/>
    <col min="5950" max="5958" width="1.7109375" style="72" customWidth="1"/>
    <col min="5959" max="5959" width="0.28515625" style="72" customWidth="1"/>
    <col min="5960" max="5968" width="1.7109375" style="72" customWidth="1"/>
    <col min="5969" max="6144" width="9.140625" style="72"/>
    <col min="6145" max="6145" width="0.28515625" style="72" customWidth="1"/>
    <col min="6146" max="6154" width="1.7109375" style="72" customWidth="1"/>
    <col min="6155" max="6155" width="0.28515625" style="72" customWidth="1"/>
    <col min="6156" max="6164" width="1.7109375" style="72" customWidth="1"/>
    <col min="6165" max="6165" width="0.28515625" style="72" customWidth="1"/>
    <col min="6166" max="6174" width="1.7109375" style="72" customWidth="1"/>
    <col min="6175" max="6175" width="0.28515625" style="72" customWidth="1"/>
    <col min="6176" max="6184" width="1.7109375" style="72" customWidth="1"/>
    <col min="6185" max="6185" width="0.28515625" style="72" customWidth="1"/>
    <col min="6186" max="6194" width="1.7109375" style="72" customWidth="1"/>
    <col min="6195" max="6195" width="0.28515625" style="72" customWidth="1"/>
    <col min="6196" max="6204" width="1.7109375" style="72" customWidth="1"/>
    <col min="6205" max="6205" width="0.28515625" style="72" customWidth="1"/>
    <col min="6206" max="6214" width="1.7109375" style="72" customWidth="1"/>
    <col min="6215" max="6215" width="0.28515625" style="72" customWidth="1"/>
    <col min="6216" max="6224" width="1.7109375" style="72" customWidth="1"/>
    <col min="6225" max="6400" width="9.140625" style="72"/>
    <col min="6401" max="6401" width="0.28515625" style="72" customWidth="1"/>
    <col min="6402" max="6410" width="1.7109375" style="72" customWidth="1"/>
    <col min="6411" max="6411" width="0.28515625" style="72" customWidth="1"/>
    <col min="6412" max="6420" width="1.7109375" style="72" customWidth="1"/>
    <col min="6421" max="6421" width="0.28515625" style="72" customWidth="1"/>
    <col min="6422" max="6430" width="1.7109375" style="72" customWidth="1"/>
    <col min="6431" max="6431" width="0.28515625" style="72" customWidth="1"/>
    <col min="6432" max="6440" width="1.7109375" style="72" customWidth="1"/>
    <col min="6441" max="6441" width="0.28515625" style="72" customWidth="1"/>
    <col min="6442" max="6450" width="1.7109375" style="72" customWidth="1"/>
    <col min="6451" max="6451" width="0.28515625" style="72" customWidth="1"/>
    <col min="6452" max="6460" width="1.7109375" style="72" customWidth="1"/>
    <col min="6461" max="6461" width="0.28515625" style="72" customWidth="1"/>
    <col min="6462" max="6470" width="1.7109375" style="72" customWidth="1"/>
    <col min="6471" max="6471" width="0.28515625" style="72" customWidth="1"/>
    <col min="6472" max="6480" width="1.7109375" style="72" customWidth="1"/>
    <col min="6481" max="6656" width="9.140625" style="72"/>
    <col min="6657" max="6657" width="0.28515625" style="72" customWidth="1"/>
    <col min="6658" max="6666" width="1.7109375" style="72" customWidth="1"/>
    <col min="6667" max="6667" width="0.28515625" style="72" customWidth="1"/>
    <col min="6668" max="6676" width="1.7109375" style="72" customWidth="1"/>
    <col min="6677" max="6677" width="0.28515625" style="72" customWidth="1"/>
    <col min="6678" max="6686" width="1.7109375" style="72" customWidth="1"/>
    <col min="6687" max="6687" width="0.28515625" style="72" customWidth="1"/>
    <col min="6688" max="6696" width="1.7109375" style="72" customWidth="1"/>
    <col min="6697" max="6697" width="0.28515625" style="72" customWidth="1"/>
    <col min="6698" max="6706" width="1.7109375" style="72" customWidth="1"/>
    <col min="6707" max="6707" width="0.28515625" style="72" customWidth="1"/>
    <col min="6708" max="6716" width="1.7109375" style="72" customWidth="1"/>
    <col min="6717" max="6717" width="0.28515625" style="72" customWidth="1"/>
    <col min="6718" max="6726" width="1.7109375" style="72" customWidth="1"/>
    <col min="6727" max="6727" width="0.28515625" style="72" customWidth="1"/>
    <col min="6728" max="6736" width="1.7109375" style="72" customWidth="1"/>
    <col min="6737" max="6912" width="9.140625" style="72"/>
    <col min="6913" max="6913" width="0.28515625" style="72" customWidth="1"/>
    <col min="6914" max="6922" width="1.7109375" style="72" customWidth="1"/>
    <col min="6923" max="6923" width="0.28515625" style="72" customWidth="1"/>
    <col min="6924" max="6932" width="1.7109375" style="72" customWidth="1"/>
    <col min="6933" max="6933" width="0.28515625" style="72" customWidth="1"/>
    <col min="6934" max="6942" width="1.7109375" style="72" customWidth="1"/>
    <col min="6943" max="6943" width="0.28515625" style="72" customWidth="1"/>
    <col min="6944" max="6952" width="1.7109375" style="72" customWidth="1"/>
    <col min="6953" max="6953" width="0.28515625" style="72" customWidth="1"/>
    <col min="6954" max="6962" width="1.7109375" style="72" customWidth="1"/>
    <col min="6963" max="6963" width="0.28515625" style="72" customWidth="1"/>
    <col min="6964" max="6972" width="1.7109375" style="72" customWidth="1"/>
    <col min="6973" max="6973" width="0.28515625" style="72" customWidth="1"/>
    <col min="6974" max="6982" width="1.7109375" style="72" customWidth="1"/>
    <col min="6983" max="6983" width="0.28515625" style="72" customWidth="1"/>
    <col min="6984" max="6992" width="1.7109375" style="72" customWidth="1"/>
    <col min="6993" max="7168" width="9.140625" style="72"/>
    <col min="7169" max="7169" width="0.28515625" style="72" customWidth="1"/>
    <col min="7170" max="7178" width="1.7109375" style="72" customWidth="1"/>
    <col min="7179" max="7179" width="0.28515625" style="72" customWidth="1"/>
    <col min="7180" max="7188" width="1.7109375" style="72" customWidth="1"/>
    <col min="7189" max="7189" width="0.28515625" style="72" customWidth="1"/>
    <col min="7190" max="7198" width="1.7109375" style="72" customWidth="1"/>
    <col min="7199" max="7199" width="0.28515625" style="72" customWidth="1"/>
    <col min="7200" max="7208" width="1.7109375" style="72" customWidth="1"/>
    <col min="7209" max="7209" width="0.28515625" style="72" customWidth="1"/>
    <col min="7210" max="7218" width="1.7109375" style="72" customWidth="1"/>
    <col min="7219" max="7219" width="0.28515625" style="72" customWidth="1"/>
    <col min="7220" max="7228" width="1.7109375" style="72" customWidth="1"/>
    <col min="7229" max="7229" width="0.28515625" style="72" customWidth="1"/>
    <col min="7230" max="7238" width="1.7109375" style="72" customWidth="1"/>
    <col min="7239" max="7239" width="0.28515625" style="72" customWidth="1"/>
    <col min="7240" max="7248" width="1.7109375" style="72" customWidth="1"/>
    <col min="7249" max="7424" width="9.140625" style="72"/>
    <col min="7425" max="7425" width="0.28515625" style="72" customWidth="1"/>
    <col min="7426" max="7434" width="1.7109375" style="72" customWidth="1"/>
    <col min="7435" max="7435" width="0.28515625" style="72" customWidth="1"/>
    <col min="7436" max="7444" width="1.7109375" style="72" customWidth="1"/>
    <col min="7445" max="7445" width="0.28515625" style="72" customWidth="1"/>
    <col min="7446" max="7454" width="1.7109375" style="72" customWidth="1"/>
    <col min="7455" max="7455" width="0.28515625" style="72" customWidth="1"/>
    <col min="7456" max="7464" width="1.7109375" style="72" customWidth="1"/>
    <col min="7465" max="7465" width="0.28515625" style="72" customWidth="1"/>
    <col min="7466" max="7474" width="1.7109375" style="72" customWidth="1"/>
    <col min="7475" max="7475" width="0.28515625" style="72" customWidth="1"/>
    <col min="7476" max="7484" width="1.7109375" style="72" customWidth="1"/>
    <col min="7485" max="7485" width="0.28515625" style="72" customWidth="1"/>
    <col min="7486" max="7494" width="1.7109375" style="72" customWidth="1"/>
    <col min="7495" max="7495" width="0.28515625" style="72" customWidth="1"/>
    <col min="7496" max="7504" width="1.7109375" style="72" customWidth="1"/>
    <col min="7505" max="7680" width="9.140625" style="72"/>
    <col min="7681" max="7681" width="0.28515625" style="72" customWidth="1"/>
    <col min="7682" max="7690" width="1.7109375" style="72" customWidth="1"/>
    <col min="7691" max="7691" width="0.28515625" style="72" customWidth="1"/>
    <col min="7692" max="7700" width="1.7109375" style="72" customWidth="1"/>
    <col min="7701" max="7701" width="0.28515625" style="72" customWidth="1"/>
    <col min="7702" max="7710" width="1.7109375" style="72" customWidth="1"/>
    <col min="7711" max="7711" width="0.28515625" style="72" customWidth="1"/>
    <col min="7712" max="7720" width="1.7109375" style="72" customWidth="1"/>
    <col min="7721" max="7721" width="0.28515625" style="72" customWidth="1"/>
    <col min="7722" max="7730" width="1.7109375" style="72" customWidth="1"/>
    <col min="7731" max="7731" width="0.28515625" style="72" customWidth="1"/>
    <col min="7732" max="7740" width="1.7109375" style="72" customWidth="1"/>
    <col min="7741" max="7741" width="0.28515625" style="72" customWidth="1"/>
    <col min="7742" max="7750" width="1.7109375" style="72" customWidth="1"/>
    <col min="7751" max="7751" width="0.28515625" style="72" customWidth="1"/>
    <col min="7752" max="7760" width="1.7109375" style="72" customWidth="1"/>
    <col min="7761" max="7936" width="9.140625" style="72"/>
    <col min="7937" max="7937" width="0.28515625" style="72" customWidth="1"/>
    <col min="7938" max="7946" width="1.7109375" style="72" customWidth="1"/>
    <col min="7947" max="7947" width="0.28515625" style="72" customWidth="1"/>
    <col min="7948" max="7956" width="1.7109375" style="72" customWidth="1"/>
    <col min="7957" max="7957" width="0.28515625" style="72" customWidth="1"/>
    <col min="7958" max="7966" width="1.7109375" style="72" customWidth="1"/>
    <col min="7967" max="7967" width="0.28515625" style="72" customWidth="1"/>
    <col min="7968" max="7976" width="1.7109375" style="72" customWidth="1"/>
    <col min="7977" max="7977" width="0.28515625" style="72" customWidth="1"/>
    <col min="7978" max="7986" width="1.7109375" style="72" customWidth="1"/>
    <col min="7987" max="7987" width="0.28515625" style="72" customWidth="1"/>
    <col min="7988" max="7996" width="1.7109375" style="72" customWidth="1"/>
    <col min="7997" max="7997" width="0.28515625" style="72" customWidth="1"/>
    <col min="7998" max="8006" width="1.7109375" style="72" customWidth="1"/>
    <col min="8007" max="8007" width="0.28515625" style="72" customWidth="1"/>
    <col min="8008" max="8016" width="1.7109375" style="72" customWidth="1"/>
    <col min="8017" max="8192" width="9.140625" style="72"/>
    <col min="8193" max="8193" width="0.28515625" style="72" customWidth="1"/>
    <col min="8194" max="8202" width="1.7109375" style="72" customWidth="1"/>
    <col min="8203" max="8203" width="0.28515625" style="72" customWidth="1"/>
    <col min="8204" max="8212" width="1.7109375" style="72" customWidth="1"/>
    <col min="8213" max="8213" width="0.28515625" style="72" customWidth="1"/>
    <col min="8214" max="8222" width="1.7109375" style="72" customWidth="1"/>
    <col min="8223" max="8223" width="0.28515625" style="72" customWidth="1"/>
    <col min="8224" max="8232" width="1.7109375" style="72" customWidth="1"/>
    <col min="8233" max="8233" width="0.28515625" style="72" customWidth="1"/>
    <col min="8234" max="8242" width="1.7109375" style="72" customWidth="1"/>
    <col min="8243" max="8243" width="0.28515625" style="72" customWidth="1"/>
    <col min="8244" max="8252" width="1.7109375" style="72" customWidth="1"/>
    <col min="8253" max="8253" width="0.28515625" style="72" customWidth="1"/>
    <col min="8254" max="8262" width="1.7109375" style="72" customWidth="1"/>
    <col min="8263" max="8263" width="0.28515625" style="72" customWidth="1"/>
    <col min="8264" max="8272" width="1.7109375" style="72" customWidth="1"/>
    <col min="8273" max="8448" width="9.140625" style="72"/>
    <col min="8449" max="8449" width="0.28515625" style="72" customWidth="1"/>
    <col min="8450" max="8458" width="1.7109375" style="72" customWidth="1"/>
    <col min="8459" max="8459" width="0.28515625" style="72" customWidth="1"/>
    <col min="8460" max="8468" width="1.7109375" style="72" customWidth="1"/>
    <col min="8469" max="8469" width="0.28515625" style="72" customWidth="1"/>
    <col min="8470" max="8478" width="1.7109375" style="72" customWidth="1"/>
    <col min="8479" max="8479" width="0.28515625" style="72" customWidth="1"/>
    <col min="8480" max="8488" width="1.7109375" style="72" customWidth="1"/>
    <col min="8489" max="8489" width="0.28515625" style="72" customWidth="1"/>
    <col min="8490" max="8498" width="1.7109375" style="72" customWidth="1"/>
    <col min="8499" max="8499" width="0.28515625" style="72" customWidth="1"/>
    <col min="8500" max="8508" width="1.7109375" style="72" customWidth="1"/>
    <col min="8509" max="8509" width="0.28515625" style="72" customWidth="1"/>
    <col min="8510" max="8518" width="1.7109375" style="72" customWidth="1"/>
    <col min="8519" max="8519" width="0.28515625" style="72" customWidth="1"/>
    <col min="8520" max="8528" width="1.7109375" style="72" customWidth="1"/>
    <col min="8529" max="8704" width="9.140625" style="72"/>
    <col min="8705" max="8705" width="0.28515625" style="72" customWidth="1"/>
    <col min="8706" max="8714" width="1.7109375" style="72" customWidth="1"/>
    <col min="8715" max="8715" width="0.28515625" style="72" customWidth="1"/>
    <col min="8716" max="8724" width="1.7109375" style="72" customWidth="1"/>
    <col min="8725" max="8725" width="0.28515625" style="72" customWidth="1"/>
    <col min="8726" max="8734" width="1.7109375" style="72" customWidth="1"/>
    <col min="8735" max="8735" width="0.28515625" style="72" customWidth="1"/>
    <col min="8736" max="8744" width="1.7109375" style="72" customWidth="1"/>
    <col min="8745" max="8745" width="0.28515625" style="72" customWidth="1"/>
    <col min="8746" max="8754" width="1.7109375" style="72" customWidth="1"/>
    <col min="8755" max="8755" width="0.28515625" style="72" customWidth="1"/>
    <col min="8756" max="8764" width="1.7109375" style="72" customWidth="1"/>
    <col min="8765" max="8765" width="0.28515625" style="72" customWidth="1"/>
    <col min="8766" max="8774" width="1.7109375" style="72" customWidth="1"/>
    <col min="8775" max="8775" width="0.28515625" style="72" customWidth="1"/>
    <col min="8776" max="8784" width="1.7109375" style="72" customWidth="1"/>
    <col min="8785" max="8960" width="9.140625" style="72"/>
    <col min="8961" max="8961" width="0.28515625" style="72" customWidth="1"/>
    <col min="8962" max="8970" width="1.7109375" style="72" customWidth="1"/>
    <col min="8971" max="8971" width="0.28515625" style="72" customWidth="1"/>
    <col min="8972" max="8980" width="1.7109375" style="72" customWidth="1"/>
    <col min="8981" max="8981" width="0.28515625" style="72" customWidth="1"/>
    <col min="8982" max="8990" width="1.7109375" style="72" customWidth="1"/>
    <col min="8991" max="8991" width="0.28515625" style="72" customWidth="1"/>
    <col min="8992" max="9000" width="1.7109375" style="72" customWidth="1"/>
    <col min="9001" max="9001" width="0.28515625" style="72" customWidth="1"/>
    <col min="9002" max="9010" width="1.7109375" style="72" customWidth="1"/>
    <col min="9011" max="9011" width="0.28515625" style="72" customWidth="1"/>
    <col min="9012" max="9020" width="1.7109375" style="72" customWidth="1"/>
    <col min="9021" max="9021" width="0.28515625" style="72" customWidth="1"/>
    <col min="9022" max="9030" width="1.7109375" style="72" customWidth="1"/>
    <col min="9031" max="9031" width="0.28515625" style="72" customWidth="1"/>
    <col min="9032" max="9040" width="1.7109375" style="72" customWidth="1"/>
    <col min="9041" max="9216" width="9.140625" style="72"/>
    <col min="9217" max="9217" width="0.28515625" style="72" customWidth="1"/>
    <col min="9218" max="9226" width="1.7109375" style="72" customWidth="1"/>
    <col min="9227" max="9227" width="0.28515625" style="72" customWidth="1"/>
    <col min="9228" max="9236" width="1.7109375" style="72" customWidth="1"/>
    <col min="9237" max="9237" width="0.28515625" style="72" customWidth="1"/>
    <col min="9238" max="9246" width="1.7109375" style="72" customWidth="1"/>
    <col min="9247" max="9247" width="0.28515625" style="72" customWidth="1"/>
    <col min="9248" max="9256" width="1.7109375" style="72" customWidth="1"/>
    <col min="9257" max="9257" width="0.28515625" style="72" customWidth="1"/>
    <col min="9258" max="9266" width="1.7109375" style="72" customWidth="1"/>
    <col min="9267" max="9267" width="0.28515625" style="72" customWidth="1"/>
    <col min="9268" max="9276" width="1.7109375" style="72" customWidth="1"/>
    <col min="9277" max="9277" width="0.28515625" style="72" customWidth="1"/>
    <col min="9278" max="9286" width="1.7109375" style="72" customWidth="1"/>
    <col min="9287" max="9287" width="0.28515625" style="72" customWidth="1"/>
    <col min="9288" max="9296" width="1.7109375" style="72" customWidth="1"/>
    <col min="9297" max="9472" width="9.140625" style="72"/>
    <col min="9473" max="9473" width="0.28515625" style="72" customWidth="1"/>
    <col min="9474" max="9482" width="1.7109375" style="72" customWidth="1"/>
    <col min="9483" max="9483" width="0.28515625" style="72" customWidth="1"/>
    <col min="9484" max="9492" width="1.7109375" style="72" customWidth="1"/>
    <col min="9493" max="9493" width="0.28515625" style="72" customWidth="1"/>
    <col min="9494" max="9502" width="1.7109375" style="72" customWidth="1"/>
    <col min="9503" max="9503" width="0.28515625" style="72" customWidth="1"/>
    <col min="9504" max="9512" width="1.7109375" style="72" customWidth="1"/>
    <col min="9513" max="9513" width="0.28515625" style="72" customWidth="1"/>
    <col min="9514" max="9522" width="1.7109375" style="72" customWidth="1"/>
    <col min="9523" max="9523" width="0.28515625" style="72" customWidth="1"/>
    <col min="9524" max="9532" width="1.7109375" style="72" customWidth="1"/>
    <col min="9533" max="9533" width="0.28515625" style="72" customWidth="1"/>
    <col min="9534" max="9542" width="1.7109375" style="72" customWidth="1"/>
    <col min="9543" max="9543" width="0.28515625" style="72" customWidth="1"/>
    <col min="9544" max="9552" width="1.7109375" style="72" customWidth="1"/>
    <col min="9553" max="9728" width="9.140625" style="72"/>
    <col min="9729" max="9729" width="0.28515625" style="72" customWidth="1"/>
    <col min="9730" max="9738" width="1.7109375" style="72" customWidth="1"/>
    <col min="9739" max="9739" width="0.28515625" style="72" customWidth="1"/>
    <col min="9740" max="9748" width="1.7109375" style="72" customWidth="1"/>
    <col min="9749" max="9749" width="0.28515625" style="72" customWidth="1"/>
    <col min="9750" max="9758" width="1.7109375" style="72" customWidth="1"/>
    <col min="9759" max="9759" width="0.28515625" style="72" customWidth="1"/>
    <col min="9760" max="9768" width="1.7109375" style="72" customWidth="1"/>
    <col min="9769" max="9769" width="0.28515625" style="72" customWidth="1"/>
    <col min="9770" max="9778" width="1.7109375" style="72" customWidth="1"/>
    <col min="9779" max="9779" width="0.28515625" style="72" customWidth="1"/>
    <col min="9780" max="9788" width="1.7109375" style="72" customWidth="1"/>
    <col min="9789" max="9789" width="0.28515625" style="72" customWidth="1"/>
    <col min="9790" max="9798" width="1.7109375" style="72" customWidth="1"/>
    <col min="9799" max="9799" width="0.28515625" style="72" customWidth="1"/>
    <col min="9800" max="9808" width="1.7109375" style="72" customWidth="1"/>
    <col min="9809" max="9984" width="9.140625" style="72"/>
    <col min="9985" max="9985" width="0.28515625" style="72" customWidth="1"/>
    <col min="9986" max="9994" width="1.7109375" style="72" customWidth="1"/>
    <col min="9995" max="9995" width="0.28515625" style="72" customWidth="1"/>
    <col min="9996" max="10004" width="1.7109375" style="72" customWidth="1"/>
    <col min="10005" max="10005" width="0.28515625" style="72" customWidth="1"/>
    <col min="10006" max="10014" width="1.7109375" style="72" customWidth="1"/>
    <col min="10015" max="10015" width="0.28515625" style="72" customWidth="1"/>
    <col min="10016" max="10024" width="1.7109375" style="72" customWidth="1"/>
    <col min="10025" max="10025" width="0.28515625" style="72" customWidth="1"/>
    <col min="10026" max="10034" width="1.7109375" style="72" customWidth="1"/>
    <col min="10035" max="10035" width="0.28515625" style="72" customWidth="1"/>
    <col min="10036" max="10044" width="1.7109375" style="72" customWidth="1"/>
    <col min="10045" max="10045" width="0.28515625" style="72" customWidth="1"/>
    <col min="10046" max="10054" width="1.7109375" style="72" customWidth="1"/>
    <col min="10055" max="10055" width="0.28515625" style="72" customWidth="1"/>
    <col min="10056" max="10064" width="1.7109375" style="72" customWidth="1"/>
    <col min="10065" max="10240" width="9.140625" style="72"/>
    <col min="10241" max="10241" width="0.28515625" style="72" customWidth="1"/>
    <col min="10242" max="10250" width="1.7109375" style="72" customWidth="1"/>
    <col min="10251" max="10251" width="0.28515625" style="72" customWidth="1"/>
    <col min="10252" max="10260" width="1.7109375" style="72" customWidth="1"/>
    <col min="10261" max="10261" width="0.28515625" style="72" customWidth="1"/>
    <col min="10262" max="10270" width="1.7109375" style="72" customWidth="1"/>
    <col min="10271" max="10271" width="0.28515625" style="72" customWidth="1"/>
    <col min="10272" max="10280" width="1.7109375" style="72" customWidth="1"/>
    <col min="10281" max="10281" width="0.28515625" style="72" customWidth="1"/>
    <col min="10282" max="10290" width="1.7109375" style="72" customWidth="1"/>
    <col min="10291" max="10291" width="0.28515625" style="72" customWidth="1"/>
    <col min="10292" max="10300" width="1.7109375" style="72" customWidth="1"/>
    <col min="10301" max="10301" width="0.28515625" style="72" customWidth="1"/>
    <col min="10302" max="10310" width="1.7109375" style="72" customWidth="1"/>
    <col min="10311" max="10311" width="0.28515625" style="72" customWidth="1"/>
    <col min="10312" max="10320" width="1.7109375" style="72" customWidth="1"/>
    <col min="10321" max="10496" width="9.140625" style="72"/>
    <col min="10497" max="10497" width="0.28515625" style="72" customWidth="1"/>
    <col min="10498" max="10506" width="1.7109375" style="72" customWidth="1"/>
    <col min="10507" max="10507" width="0.28515625" style="72" customWidth="1"/>
    <col min="10508" max="10516" width="1.7109375" style="72" customWidth="1"/>
    <col min="10517" max="10517" width="0.28515625" style="72" customWidth="1"/>
    <col min="10518" max="10526" width="1.7109375" style="72" customWidth="1"/>
    <col min="10527" max="10527" width="0.28515625" style="72" customWidth="1"/>
    <col min="10528" max="10536" width="1.7109375" style="72" customWidth="1"/>
    <col min="10537" max="10537" width="0.28515625" style="72" customWidth="1"/>
    <col min="10538" max="10546" width="1.7109375" style="72" customWidth="1"/>
    <col min="10547" max="10547" width="0.28515625" style="72" customWidth="1"/>
    <col min="10548" max="10556" width="1.7109375" style="72" customWidth="1"/>
    <col min="10557" max="10557" width="0.28515625" style="72" customWidth="1"/>
    <col min="10558" max="10566" width="1.7109375" style="72" customWidth="1"/>
    <col min="10567" max="10567" width="0.28515625" style="72" customWidth="1"/>
    <col min="10568" max="10576" width="1.7109375" style="72" customWidth="1"/>
    <col min="10577" max="10752" width="9.140625" style="72"/>
    <col min="10753" max="10753" width="0.28515625" style="72" customWidth="1"/>
    <col min="10754" max="10762" width="1.7109375" style="72" customWidth="1"/>
    <col min="10763" max="10763" width="0.28515625" style="72" customWidth="1"/>
    <col min="10764" max="10772" width="1.7109375" style="72" customWidth="1"/>
    <col min="10773" max="10773" width="0.28515625" style="72" customWidth="1"/>
    <col min="10774" max="10782" width="1.7109375" style="72" customWidth="1"/>
    <col min="10783" max="10783" width="0.28515625" style="72" customWidth="1"/>
    <col min="10784" max="10792" width="1.7109375" style="72" customWidth="1"/>
    <col min="10793" max="10793" width="0.28515625" style="72" customWidth="1"/>
    <col min="10794" max="10802" width="1.7109375" style="72" customWidth="1"/>
    <col min="10803" max="10803" width="0.28515625" style="72" customWidth="1"/>
    <col min="10804" max="10812" width="1.7109375" style="72" customWidth="1"/>
    <col min="10813" max="10813" width="0.28515625" style="72" customWidth="1"/>
    <col min="10814" max="10822" width="1.7109375" style="72" customWidth="1"/>
    <col min="10823" max="10823" width="0.28515625" style="72" customWidth="1"/>
    <col min="10824" max="10832" width="1.7109375" style="72" customWidth="1"/>
    <col min="10833" max="11008" width="9.140625" style="72"/>
    <col min="11009" max="11009" width="0.28515625" style="72" customWidth="1"/>
    <col min="11010" max="11018" width="1.7109375" style="72" customWidth="1"/>
    <col min="11019" max="11019" width="0.28515625" style="72" customWidth="1"/>
    <col min="11020" max="11028" width="1.7109375" style="72" customWidth="1"/>
    <col min="11029" max="11029" width="0.28515625" style="72" customWidth="1"/>
    <col min="11030" max="11038" width="1.7109375" style="72" customWidth="1"/>
    <col min="11039" max="11039" width="0.28515625" style="72" customWidth="1"/>
    <col min="11040" max="11048" width="1.7109375" style="72" customWidth="1"/>
    <col min="11049" max="11049" width="0.28515625" style="72" customWidth="1"/>
    <col min="11050" max="11058" width="1.7109375" style="72" customWidth="1"/>
    <col min="11059" max="11059" width="0.28515625" style="72" customWidth="1"/>
    <col min="11060" max="11068" width="1.7109375" style="72" customWidth="1"/>
    <col min="11069" max="11069" width="0.28515625" style="72" customWidth="1"/>
    <col min="11070" max="11078" width="1.7109375" style="72" customWidth="1"/>
    <col min="11079" max="11079" width="0.28515625" style="72" customWidth="1"/>
    <col min="11080" max="11088" width="1.7109375" style="72" customWidth="1"/>
    <col min="11089" max="11264" width="9.140625" style="72"/>
    <col min="11265" max="11265" width="0.28515625" style="72" customWidth="1"/>
    <col min="11266" max="11274" width="1.7109375" style="72" customWidth="1"/>
    <col min="11275" max="11275" width="0.28515625" style="72" customWidth="1"/>
    <col min="11276" max="11284" width="1.7109375" style="72" customWidth="1"/>
    <col min="11285" max="11285" width="0.28515625" style="72" customWidth="1"/>
    <col min="11286" max="11294" width="1.7109375" style="72" customWidth="1"/>
    <col min="11295" max="11295" width="0.28515625" style="72" customWidth="1"/>
    <col min="11296" max="11304" width="1.7109375" style="72" customWidth="1"/>
    <col min="11305" max="11305" width="0.28515625" style="72" customWidth="1"/>
    <col min="11306" max="11314" width="1.7109375" style="72" customWidth="1"/>
    <col min="11315" max="11315" width="0.28515625" style="72" customWidth="1"/>
    <col min="11316" max="11324" width="1.7109375" style="72" customWidth="1"/>
    <col min="11325" max="11325" width="0.28515625" style="72" customWidth="1"/>
    <col min="11326" max="11334" width="1.7109375" style="72" customWidth="1"/>
    <col min="11335" max="11335" width="0.28515625" style="72" customWidth="1"/>
    <col min="11336" max="11344" width="1.7109375" style="72" customWidth="1"/>
    <col min="11345" max="11520" width="9.140625" style="72"/>
    <col min="11521" max="11521" width="0.28515625" style="72" customWidth="1"/>
    <col min="11522" max="11530" width="1.7109375" style="72" customWidth="1"/>
    <col min="11531" max="11531" width="0.28515625" style="72" customWidth="1"/>
    <col min="11532" max="11540" width="1.7109375" style="72" customWidth="1"/>
    <col min="11541" max="11541" width="0.28515625" style="72" customWidth="1"/>
    <col min="11542" max="11550" width="1.7109375" style="72" customWidth="1"/>
    <col min="11551" max="11551" width="0.28515625" style="72" customWidth="1"/>
    <col min="11552" max="11560" width="1.7109375" style="72" customWidth="1"/>
    <col min="11561" max="11561" width="0.28515625" style="72" customWidth="1"/>
    <col min="11562" max="11570" width="1.7109375" style="72" customWidth="1"/>
    <col min="11571" max="11571" width="0.28515625" style="72" customWidth="1"/>
    <col min="11572" max="11580" width="1.7109375" style="72" customWidth="1"/>
    <col min="11581" max="11581" width="0.28515625" style="72" customWidth="1"/>
    <col min="11582" max="11590" width="1.7109375" style="72" customWidth="1"/>
    <col min="11591" max="11591" width="0.28515625" style="72" customWidth="1"/>
    <col min="11592" max="11600" width="1.7109375" style="72" customWidth="1"/>
    <col min="11601" max="11776" width="9.140625" style="72"/>
    <col min="11777" max="11777" width="0.28515625" style="72" customWidth="1"/>
    <col min="11778" max="11786" width="1.7109375" style="72" customWidth="1"/>
    <col min="11787" max="11787" width="0.28515625" style="72" customWidth="1"/>
    <col min="11788" max="11796" width="1.7109375" style="72" customWidth="1"/>
    <col min="11797" max="11797" width="0.28515625" style="72" customWidth="1"/>
    <col min="11798" max="11806" width="1.7109375" style="72" customWidth="1"/>
    <col min="11807" max="11807" width="0.28515625" style="72" customWidth="1"/>
    <col min="11808" max="11816" width="1.7109375" style="72" customWidth="1"/>
    <col min="11817" max="11817" width="0.28515625" style="72" customWidth="1"/>
    <col min="11818" max="11826" width="1.7109375" style="72" customWidth="1"/>
    <col min="11827" max="11827" width="0.28515625" style="72" customWidth="1"/>
    <col min="11828" max="11836" width="1.7109375" style="72" customWidth="1"/>
    <col min="11837" max="11837" width="0.28515625" style="72" customWidth="1"/>
    <col min="11838" max="11846" width="1.7109375" style="72" customWidth="1"/>
    <col min="11847" max="11847" width="0.28515625" style="72" customWidth="1"/>
    <col min="11848" max="11856" width="1.7109375" style="72" customWidth="1"/>
    <col min="11857" max="12032" width="9.140625" style="72"/>
    <col min="12033" max="12033" width="0.28515625" style="72" customWidth="1"/>
    <col min="12034" max="12042" width="1.7109375" style="72" customWidth="1"/>
    <col min="12043" max="12043" width="0.28515625" style="72" customWidth="1"/>
    <col min="12044" max="12052" width="1.7109375" style="72" customWidth="1"/>
    <col min="12053" max="12053" width="0.28515625" style="72" customWidth="1"/>
    <col min="12054" max="12062" width="1.7109375" style="72" customWidth="1"/>
    <col min="12063" max="12063" width="0.28515625" style="72" customWidth="1"/>
    <col min="12064" max="12072" width="1.7109375" style="72" customWidth="1"/>
    <col min="12073" max="12073" width="0.28515625" style="72" customWidth="1"/>
    <col min="12074" max="12082" width="1.7109375" style="72" customWidth="1"/>
    <col min="12083" max="12083" width="0.28515625" style="72" customWidth="1"/>
    <col min="12084" max="12092" width="1.7109375" style="72" customWidth="1"/>
    <col min="12093" max="12093" width="0.28515625" style="72" customWidth="1"/>
    <col min="12094" max="12102" width="1.7109375" style="72" customWidth="1"/>
    <col min="12103" max="12103" width="0.28515625" style="72" customWidth="1"/>
    <col min="12104" max="12112" width="1.7109375" style="72" customWidth="1"/>
    <col min="12113" max="12288" width="9.140625" style="72"/>
    <col min="12289" max="12289" width="0.28515625" style="72" customWidth="1"/>
    <col min="12290" max="12298" width="1.7109375" style="72" customWidth="1"/>
    <col min="12299" max="12299" width="0.28515625" style="72" customWidth="1"/>
    <col min="12300" max="12308" width="1.7109375" style="72" customWidth="1"/>
    <col min="12309" max="12309" width="0.28515625" style="72" customWidth="1"/>
    <col min="12310" max="12318" width="1.7109375" style="72" customWidth="1"/>
    <col min="12319" max="12319" width="0.28515625" style="72" customWidth="1"/>
    <col min="12320" max="12328" width="1.7109375" style="72" customWidth="1"/>
    <col min="12329" max="12329" width="0.28515625" style="72" customWidth="1"/>
    <col min="12330" max="12338" width="1.7109375" style="72" customWidth="1"/>
    <col min="12339" max="12339" width="0.28515625" style="72" customWidth="1"/>
    <col min="12340" max="12348" width="1.7109375" style="72" customWidth="1"/>
    <col min="12349" max="12349" width="0.28515625" style="72" customWidth="1"/>
    <col min="12350" max="12358" width="1.7109375" style="72" customWidth="1"/>
    <col min="12359" max="12359" width="0.28515625" style="72" customWidth="1"/>
    <col min="12360" max="12368" width="1.7109375" style="72" customWidth="1"/>
    <col min="12369" max="12544" width="9.140625" style="72"/>
    <col min="12545" max="12545" width="0.28515625" style="72" customWidth="1"/>
    <col min="12546" max="12554" width="1.7109375" style="72" customWidth="1"/>
    <col min="12555" max="12555" width="0.28515625" style="72" customWidth="1"/>
    <col min="12556" max="12564" width="1.7109375" style="72" customWidth="1"/>
    <col min="12565" max="12565" width="0.28515625" style="72" customWidth="1"/>
    <col min="12566" max="12574" width="1.7109375" style="72" customWidth="1"/>
    <col min="12575" max="12575" width="0.28515625" style="72" customWidth="1"/>
    <col min="12576" max="12584" width="1.7109375" style="72" customWidth="1"/>
    <col min="12585" max="12585" width="0.28515625" style="72" customWidth="1"/>
    <col min="12586" max="12594" width="1.7109375" style="72" customWidth="1"/>
    <col min="12595" max="12595" width="0.28515625" style="72" customWidth="1"/>
    <col min="12596" max="12604" width="1.7109375" style="72" customWidth="1"/>
    <col min="12605" max="12605" width="0.28515625" style="72" customWidth="1"/>
    <col min="12606" max="12614" width="1.7109375" style="72" customWidth="1"/>
    <col min="12615" max="12615" width="0.28515625" style="72" customWidth="1"/>
    <col min="12616" max="12624" width="1.7109375" style="72" customWidth="1"/>
    <col min="12625" max="12800" width="9.140625" style="72"/>
    <col min="12801" max="12801" width="0.28515625" style="72" customWidth="1"/>
    <col min="12802" max="12810" width="1.7109375" style="72" customWidth="1"/>
    <col min="12811" max="12811" width="0.28515625" style="72" customWidth="1"/>
    <col min="12812" max="12820" width="1.7109375" style="72" customWidth="1"/>
    <col min="12821" max="12821" width="0.28515625" style="72" customWidth="1"/>
    <col min="12822" max="12830" width="1.7109375" style="72" customWidth="1"/>
    <col min="12831" max="12831" width="0.28515625" style="72" customWidth="1"/>
    <col min="12832" max="12840" width="1.7109375" style="72" customWidth="1"/>
    <col min="12841" max="12841" width="0.28515625" style="72" customWidth="1"/>
    <col min="12842" max="12850" width="1.7109375" style="72" customWidth="1"/>
    <col min="12851" max="12851" width="0.28515625" style="72" customWidth="1"/>
    <col min="12852" max="12860" width="1.7109375" style="72" customWidth="1"/>
    <col min="12861" max="12861" width="0.28515625" style="72" customWidth="1"/>
    <col min="12862" max="12870" width="1.7109375" style="72" customWidth="1"/>
    <col min="12871" max="12871" width="0.28515625" style="72" customWidth="1"/>
    <col min="12872" max="12880" width="1.7109375" style="72" customWidth="1"/>
    <col min="12881" max="13056" width="9.140625" style="72"/>
    <col min="13057" max="13057" width="0.28515625" style="72" customWidth="1"/>
    <col min="13058" max="13066" width="1.7109375" style="72" customWidth="1"/>
    <col min="13067" max="13067" width="0.28515625" style="72" customWidth="1"/>
    <col min="13068" max="13076" width="1.7109375" style="72" customWidth="1"/>
    <col min="13077" max="13077" width="0.28515625" style="72" customWidth="1"/>
    <col min="13078" max="13086" width="1.7109375" style="72" customWidth="1"/>
    <col min="13087" max="13087" width="0.28515625" style="72" customWidth="1"/>
    <col min="13088" max="13096" width="1.7109375" style="72" customWidth="1"/>
    <col min="13097" max="13097" width="0.28515625" style="72" customWidth="1"/>
    <col min="13098" max="13106" width="1.7109375" style="72" customWidth="1"/>
    <col min="13107" max="13107" width="0.28515625" style="72" customWidth="1"/>
    <col min="13108" max="13116" width="1.7109375" style="72" customWidth="1"/>
    <col min="13117" max="13117" width="0.28515625" style="72" customWidth="1"/>
    <col min="13118" max="13126" width="1.7109375" style="72" customWidth="1"/>
    <col min="13127" max="13127" width="0.28515625" style="72" customWidth="1"/>
    <col min="13128" max="13136" width="1.7109375" style="72" customWidth="1"/>
    <col min="13137" max="13312" width="9.140625" style="72"/>
    <col min="13313" max="13313" width="0.28515625" style="72" customWidth="1"/>
    <col min="13314" max="13322" width="1.7109375" style="72" customWidth="1"/>
    <col min="13323" max="13323" width="0.28515625" style="72" customWidth="1"/>
    <col min="13324" max="13332" width="1.7109375" style="72" customWidth="1"/>
    <col min="13333" max="13333" width="0.28515625" style="72" customWidth="1"/>
    <col min="13334" max="13342" width="1.7109375" style="72" customWidth="1"/>
    <col min="13343" max="13343" width="0.28515625" style="72" customWidth="1"/>
    <col min="13344" max="13352" width="1.7109375" style="72" customWidth="1"/>
    <col min="13353" max="13353" width="0.28515625" style="72" customWidth="1"/>
    <col min="13354" max="13362" width="1.7109375" style="72" customWidth="1"/>
    <col min="13363" max="13363" width="0.28515625" style="72" customWidth="1"/>
    <col min="13364" max="13372" width="1.7109375" style="72" customWidth="1"/>
    <col min="13373" max="13373" width="0.28515625" style="72" customWidth="1"/>
    <col min="13374" max="13382" width="1.7109375" style="72" customWidth="1"/>
    <col min="13383" max="13383" width="0.28515625" style="72" customWidth="1"/>
    <col min="13384" max="13392" width="1.7109375" style="72" customWidth="1"/>
    <col min="13393" max="13568" width="9.140625" style="72"/>
    <col min="13569" max="13569" width="0.28515625" style="72" customWidth="1"/>
    <col min="13570" max="13578" width="1.7109375" style="72" customWidth="1"/>
    <col min="13579" max="13579" width="0.28515625" style="72" customWidth="1"/>
    <col min="13580" max="13588" width="1.7109375" style="72" customWidth="1"/>
    <col min="13589" max="13589" width="0.28515625" style="72" customWidth="1"/>
    <col min="13590" max="13598" width="1.7109375" style="72" customWidth="1"/>
    <col min="13599" max="13599" width="0.28515625" style="72" customWidth="1"/>
    <col min="13600" max="13608" width="1.7109375" style="72" customWidth="1"/>
    <col min="13609" max="13609" width="0.28515625" style="72" customWidth="1"/>
    <col min="13610" max="13618" width="1.7109375" style="72" customWidth="1"/>
    <col min="13619" max="13619" width="0.28515625" style="72" customWidth="1"/>
    <col min="13620" max="13628" width="1.7109375" style="72" customWidth="1"/>
    <col min="13629" max="13629" width="0.28515625" style="72" customWidth="1"/>
    <col min="13630" max="13638" width="1.7109375" style="72" customWidth="1"/>
    <col min="13639" max="13639" width="0.28515625" style="72" customWidth="1"/>
    <col min="13640" max="13648" width="1.7109375" style="72" customWidth="1"/>
    <col min="13649" max="13824" width="9.140625" style="72"/>
    <col min="13825" max="13825" width="0.28515625" style="72" customWidth="1"/>
    <col min="13826" max="13834" width="1.7109375" style="72" customWidth="1"/>
    <col min="13835" max="13835" width="0.28515625" style="72" customWidth="1"/>
    <col min="13836" max="13844" width="1.7109375" style="72" customWidth="1"/>
    <col min="13845" max="13845" width="0.28515625" style="72" customWidth="1"/>
    <col min="13846" max="13854" width="1.7109375" style="72" customWidth="1"/>
    <col min="13855" max="13855" width="0.28515625" style="72" customWidth="1"/>
    <col min="13856" max="13864" width="1.7109375" style="72" customWidth="1"/>
    <col min="13865" max="13865" width="0.28515625" style="72" customWidth="1"/>
    <col min="13866" max="13874" width="1.7109375" style="72" customWidth="1"/>
    <col min="13875" max="13875" width="0.28515625" style="72" customWidth="1"/>
    <col min="13876" max="13884" width="1.7109375" style="72" customWidth="1"/>
    <col min="13885" max="13885" width="0.28515625" style="72" customWidth="1"/>
    <col min="13886" max="13894" width="1.7109375" style="72" customWidth="1"/>
    <col min="13895" max="13895" width="0.28515625" style="72" customWidth="1"/>
    <col min="13896" max="13904" width="1.7109375" style="72" customWidth="1"/>
    <col min="13905" max="14080" width="9.140625" style="72"/>
    <col min="14081" max="14081" width="0.28515625" style="72" customWidth="1"/>
    <col min="14082" max="14090" width="1.7109375" style="72" customWidth="1"/>
    <col min="14091" max="14091" width="0.28515625" style="72" customWidth="1"/>
    <col min="14092" max="14100" width="1.7109375" style="72" customWidth="1"/>
    <col min="14101" max="14101" width="0.28515625" style="72" customWidth="1"/>
    <col min="14102" max="14110" width="1.7109375" style="72" customWidth="1"/>
    <col min="14111" max="14111" width="0.28515625" style="72" customWidth="1"/>
    <col min="14112" max="14120" width="1.7109375" style="72" customWidth="1"/>
    <col min="14121" max="14121" width="0.28515625" style="72" customWidth="1"/>
    <col min="14122" max="14130" width="1.7109375" style="72" customWidth="1"/>
    <col min="14131" max="14131" width="0.28515625" style="72" customWidth="1"/>
    <col min="14132" max="14140" width="1.7109375" style="72" customWidth="1"/>
    <col min="14141" max="14141" width="0.28515625" style="72" customWidth="1"/>
    <col min="14142" max="14150" width="1.7109375" style="72" customWidth="1"/>
    <col min="14151" max="14151" width="0.28515625" style="72" customWidth="1"/>
    <col min="14152" max="14160" width="1.7109375" style="72" customWidth="1"/>
    <col min="14161" max="14336" width="9.140625" style="72"/>
    <col min="14337" max="14337" width="0.28515625" style="72" customWidth="1"/>
    <col min="14338" max="14346" width="1.7109375" style="72" customWidth="1"/>
    <col min="14347" max="14347" width="0.28515625" style="72" customWidth="1"/>
    <col min="14348" max="14356" width="1.7109375" style="72" customWidth="1"/>
    <col min="14357" max="14357" width="0.28515625" style="72" customWidth="1"/>
    <col min="14358" max="14366" width="1.7109375" style="72" customWidth="1"/>
    <col min="14367" max="14367" width="0.28515625" style="72" customWidth="1"/>
    <col min="14368" max="14376" width="1.7109375" style="72" customWidth="1"/>
    <col min="14377" max="14377" width="0.28515625" style="72" customWidth="1"/>
    <col min="14378" max="14386" width="1.7109375" style="72" customWidth="1"/>
    <col min="14387" max="14387" width="0.28515625" style="72" customWidth="1"/>
    <col min="14388" max="14396" width="1.7109375" style="72" customWidth="1"/>
    <col min="14397" max="14397" width="0.28515625" style="72" customWidth="1"/>
    <col min="14398" max="14406" width="1.7109375" style="72" customWidth="1"/>
    <col min="14407" max="14407" width="0.28515625" style="72" customWidth="1"/>
    <col min="14408" max="14416" width="1.7109375" style="72" customWidth="1"/>
    <col min="14417" max="14592" width="9.140625" style="72"/>
    <col min="14593" max="14593" width="0.28515625" style="72" customWidth="1"/>
    <col min="14594" max="14602" width="1.7109375" style="72" customWidth="1"/>
    <col min="14603" max="14603" width="0.28515625" style="72" customWidth="1"/>
    <col min="14604" max="14612" width="1.7109375" style="72" customWidth="1"/>
    <col min="14613" max="14613" width="0.28515625" style="72" customWidth="1"/>
    <col min="14614" max="14622" width="1.7109375" style="72" customWidth="1"/>
    <col min="14623" max="14623" width="0.28515625" style="72" customWidth="1"/>
    <col min="14624" max="14632" width="1.7109375" style="72" customWidth="1"/>
    <col min="14633" max="14633" width="0.28515625" style="72" customWidth="1"/>
    <col min="14634" max="14642" width="1.7109375" style="72" customWidth="1"/>
    <col min="14643" max="14643" width="0.28515625" style="72" customWidth="1"/>
    <col min="14644" max="14652" width="1.7109375" style="72" customWidth="1"/>
    <col min="14653" max="14653" width="0.28515625" style="72" customWidth="1"/>
    <col min="14654" max="14662" width="1.7109375" style="72" customWidth="1"/>
    <col min="14663" max="14663" width="0.28515625" style="72" customWidth="1"/>
    <col min="14664" max="14672" width="1.7109375" style="72" customWidth="1"/>
    <col min="14673" max="14848" width="9.140625" style="72"/>
    <col min="14849" max="14849" width="0.28515625" style="72" customWidth="1"/>
    <col min="14850" max="14858" width="1.7109375" style="72" customWidth="1"/>
    <col min="14859" max="14859" width="0.28515625" style="72" customWidth="1"/>
    <col min="14860" max="14868" width="1.7109375" style="72" customWidth="1"/>
    <col min="14869" max="14869" width="0.28515625" style="72" customWidth="1"/>
    <col min="14870" max="14878" width="1.7109375" style="72" customWidth="1"/>
    <col min="14879" max="14879" width="0.28515625" style="72" customWidth="1"/>
    <col min="14880" max="14888" width="1.7109375" style="72" customWidth="1"/>
    <col min="14889" max="14889" width="0.28515625" style="72" customWidth="1"/>
    <col min="14890" max="14898" width="1.7109375" style="72" customWidth="1"/>
    <col min="14899" max="14899" width="0.28515625" style="72" customWidth="1"/>
    <col min="14900" max="14908" width="1.7109375" style="72" customWidth="1"/>
    <col min="14909" max="14909" width="0.28515625" style="72" customWidth="1"/>
    <col min="14910" max="14918" width="1.7109375" style="72" customWidth="1"/>
    <col min="14919" max="14919" width="0.28515625" style="72" customWidth="1"/>
    <col min="14920" max="14928" width="1.7109375" style="72" customWidth="1"/>
    <col min="14929" max="15104" width="9.140625" style="72"/>
    <col min="15105" max="15105" width="0.28515625" style="72" customWidth="1"/>
    <col min="15106" max="15114" width="1.7109375" style="72" customWidth="1"/>
    <col min="15115" max="15115" width="0.28515625" style="72" customWidth="1"/>
    <col min="15116" max="15124" width="1.7109375" style="72" customWidth="1"/>
    <col min="15125" max="15125" width="0.28515625" style="72" customWidth="1"/>
    <col min="15126" max="15134" width="1.7109375" style="72" customWidth="1"/>
    <col min="15135" max="15135" width="0.28515625" style="72" customWidth="1"/>
    <col min="15136" max="15144" width="1.7109375" style="72" customWidth="1"/>
    <col min="15145" max="15145" width="0.28515625" style="72" customWidth="1"/>
    <col min="15146" max="15154" width="1.7109375" style="72" customWidth="1"/>
    <col min="15155" max="15155" width="0.28515625" style="72" customWidth="1"/>
    <col min="15156" max="15164" width="1.7109375" style="72" customWidth="1"/>
    <col min="15165" max="15165" width="0.28515625" style="72" customWidth="1"/>
    <col min="15166" max="15174" width="1.7109375" style="72" customWidth="1"/>
    <col min="15175" max="15175" width="0.28515625" style="72" customWidth="1"/>
    <col min="15176" max="15184" width="1.7109375" style="72" customWidth="1"/>
    <col min="15185" max="15360" width="9.140625" style="72"/>
    <col min="15361" max="15361" width="0.28515625" style="72" customWidth="1"/>
    <col min="15362" max="15370" width="1.7109375" style="72" customWidth="1"/>
    <col min="15371" max="15371" width="0.28515625" style="72" customWidth="1"/>
    <col min="15372" max="15380" width="1.7109375" style="72" customWidth="1"/>
    <col min="15381" max="15381" width="0.28515625" style="72" customWidth="1"/>
    <col min="15382" max="15390" width="1.7109375" style="72" customWidth="1"/>
    <col min="15391" max="15391" width="0.28515625" style="72" customWidth="1"/>
    <col min="15392" max="15400" width="1.7109375" style="72" customWidth="1"/>
    <col min="15401" max="15401" width="0.28515625" style="72" customWidth="1"/>
    <col min="15402" max="15410" width="1.7109375" style="72" customWidth="1"/>
    <col min="15411" max="15411" width="0.28515625" style="72" customWidth="1"/>
    <col min="15412" max="15420" width="1.7109375" style="72" customWidth="1"/>
    <col min="15421" max="15421" width="0.28515625" style="72" customWidth="1"/>
    <col min="15422" max="15430" width="1.7109375" style="72" customWidth="1"/>
    <col min="15431" max="15431" width="0.28515625" style="72" customWidth="1"/>
    <col min="15432" max="15440" width="1.7109375" style="72" customWidth="1"/>
    <col min="15441" max="15616" width="9.140625" style="72"/>
    <col min="15617" max="15617" width="0.28515625" style="72" customWidth="1"/>
    <col min="15618" max="15626" width="1.7109375" style="72" customWidth="1"/>
    <col min="15627" max="15627" width="0.28515625" style="72" customWidth="1"/>
    <col min="15628" max="15636" width="1.7109375" style="72" customWidth="1"/>
    <col min="15637" max="15637" width="0.28515625" style="72" customWidth="1"/>
    <col min="15638" max="15646" width="1.7109375" style="72" customWidth="1"/>
    <col min="15647" max="15647" width="0.28515625" style="72" customWidth="1"/>
    <col min="15648" max="15656" width="1.7109375" style="72" customWidth="1"/>
    <col min="15657" max="15657" width="0.28515625" style="72" customWidth="1"/>
    <col min="15658" max="15666" width="1.7109375" style="72" customWidth="1"/>
    <col min="15667" max="15667" width="0.28515625" style="72" customWidth="1"/>
    <col min="15668" max="15676" width="1.7109375" style="72" customWidth="1"/>
    <col min="15677" max="15677" width="0.28515625" style="72" customWidth="1"/>
    <col min="15678" max="15686" width="1.7109375" style="72" customWidth="1"/>
    <col min="15687" max="15687" width="0.28515625" style="72" customWidth="1"/>
    <col min="15688" max="15696" width="1.7109375" style="72" customWidth="1"/>
    <col min="15697" max="15872" width="9.140625" style="72"/>
    <col min="15873" max="15873" width="0.28515625" style="72" customWidth="1"/>
    <col min="15874" max="15882" width="1.7109375" style="72" customWidth="1"/>
    <col min="15883" max="15883" width="0.28515625" style="72" customWidth="1"/>
    <col min="15884" max="15892" width="1.7109375" style="72" customWidth="1"/>
    <col min="15893" max="15893" width="0.28515625" style="72" customWidth="1"/>
    <col min="15894" max="15902" width="1.7109375" style="72" customWidth="1"/>
    <col min="15903" max="15903" width="0.28515625" style="72" customWidth="1"/>
    <col min="15904" max="15912" width="1.7109375" style="72" customWidth="1"/>
    <col min="15913" max="15913" width="0.28515625" style="72" customWidth="1"/>
    <col min="15914" max="15922" width="1.7109375" style="72" customWidth="1"/>
    <col min="15923" max="15923" width="0.28515625" style="72" customWidth="1"/>
    <col min="15924" max="15932" width="1.7109375" style="72" customWidth="1"/>
    <col min="15933" max="15933" width="0.28515625" style="72" customWidth="1"/>
    <col min="15934" max="15942" width="1.7109375" style="72" customWidth="1"/>
    <col min="15943" max="15943" width="0.28515625" style="72" customWidth="1"/>
    <col min="15944" max="15952" width="1.7109375" style="72" customWidth="1"/>
    <col min="15953" max="16128" width="9.140625" style="72"/>
    <col min="16129" max="16129" width="0.28515625" style="72" customWidth="1"/>
    <col min="16130" max="16138" width="1.7109375" style="72" customWidth="1"/>
    <col min="16139" max="16139" width="0.28515625" style="72" customWidth="1"/>
    <col min="16140" max="16148" width="1.7109375" style="72" customWidth="1"/>
    <col min="16149" max="16149" width="0.28515625" style="72" customWidth="1"/>
    <col min="16150" max="16158" width="1.7109375" style="72" customWidth="1"/>
    <col min="16159" max="16159" width="0.28515625" style="72" customWidth="1"/>
    <col min="16160" max="16168" width="1.7109375" style="72" customWidth="1"/>
    <col min="16169" max="16169" width="0.28515625" style="72" customWidth="1"/>
    <col min="16170" max="16178" width="1.7109375" style="72" customWidth="1"/>
    <col min="16179" max="16179" width="0.28515625" style="72" customWidth="1"/>
    <col min="16180" max="16188" width="1.7109375" style="72" customWidth="1"/>
    <col min="16189" max="16189" width="0.28515625" style="72" customWidth="1"/>
    <col min="16190" max="16198" width="1.7109375" style="72" customWidth="1"/>
    <col min="16199" max="16199" width="0.28515625" style="72" customWidth="1"/>
    <col min="16200" max="16208" width="1.7109375" style="72" customWidth="1"/>
    <col min="16209" max="16384" width="9.140625" style="72"/>
  </cols>
  <sheetData>
    <row r="1" spans="1:71" s="15" customFormat="1" ht="90.95" customHeight="1" x14ac:dyDescent="0.25">
      <c r="B1" s="65"/>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G1" s="80"/>
      <c r="BH1" s="80"/>
      <c r="BI1" s="80"/>
      <c r="BJ1" s="456" t="s">
        <v>0</v>
      </c>
      <c r="BK1" s="456"/>
      <c r="BL1" s="456"/>
      <c r="BM1" s="456"/>
      <c r="BN1" s="456"/>
      <c r="BO1" s="456"/>
      <c r="BP1" s="456"/>
      <c r="BQ1" s="456"/>
      <c r="BR1" s="456"/>
      <c r="BS1" s="456"/>
    </row>
    <row r="2" spans="1:71" s="15" customFormat="1" ht="12.75" x14ac:dyDescent="0.25">
      <c r="B2" s="455" t="s">
        <v>728</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row>
    <row r="3" spans="1:71" ht="18" customHeight="1" x14ac:dyDescent="0.25">
      <c r="A3" s="105"/>
      <c r="B3" s="471">
        <v>1.9</v>
      </c>
      <c r="C3" s="472"/>
      <c r="D3" s="472"/>
      <c r="E3" s="472"/>
      <c r="F3" s="472"/>
      <c r="G3" s="472"/>
      <c r="H3" s="472"/>
      <c r="I3" s="472"/>
      <c r="J3" s="472"/>
      <c r="K3" s="106"/>
      <c r="L3" s="473" t="s">
        <v>352</v>
      </c>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4"/>
    </row>
    <row r="4" spans="1:71" s="73" customFormat="1" ht="1.5" customHeight="1" x14ac:dyDescent="0.25">
      <c r="A4" s="107"/>
      <c r="B4" s="107"/>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9"/>
    </row>
    <row r="5" spans="1:71" s="73" customFormat="1" ht="9" customHeight="1" x14ac:dyDescent="0.25">
      <c r="B5" s="468" t="s">
        <v>280</v>
      </c>
      <c r="C5" s="469"/>
      <c r="D5" s="470"/>
      <c r="E5" s="459" t="s">
        <v>281</v>
      </c>
      <c r="F5" s="460"/>
      <c r="G5" s="460"/>
      <c r="H5" s="460"/>
      <c r="I5" s="460"/>
      <c r="J5" s="461"/>
      <c r="K5" s="81"/>
      <c r="L5" s="468" t="s">
        <v>282</v>
      </c>
      <c r="M5" s="469"/>
      <c r="N5" s="470"/>
      <c r="O5" s="459" t="s">
        <v>281</v>
      </c>
      <c r="P5" s="460"/>
      <c r="Q5" s="460"/>
      <c r="R5" s="460"/>
      <c r="S5" s="460"/>
      <c r="T5" s="461"/>
      <c r="U5" s="81"/>
      <c r="V5" s="468" t="s">
        <v>283</v>
      </c>
      <c r="W5" s="469"/>
      <c r="X5" s="470"/>
      <c r="Y5" s="459" t="s">
        <v>281</v>
      </c>
      <c r="Z5" s="460"/>
      <c r="AA5" s="460"/>
      <c r="AB5" s="460"/>
      <c r="AC5" s="460"/>
      <c r="AD5" s="461"/>
      <c r="AE5" s="82"/>
      <c r="AF5" s="468" t="s">
        <v>284</v>
      </c>
      <c r="AG5" s="469"/>
      <c r="AH5" s="470"/>
      <c r="AI5" s="459" t="s">
        <v>281</v>
      </c>
      <c r="AJ5" s="460"/>
      <c r="AK5" s="460"/>
      <c r="AL5" s="460"/>
      <c r="AM5" s="460"/>
      <c r="AN5" s="461"/>
      <c r="AO5" s="83"/>
      <c r="AP5" s="468" t="s">
        <v>285</v>
      </c>
      <c r="AQ5" s="469"/>
      <c r="AR5" s="470"/>
      <c r="AS5" s="459" t="s">
        <v>281</v>
      </c>
      <c r="AT5" s="460"/>
      <c r="AU5" s="460"/>
      <c r="AV5" s="460"/>
      <c r="AW5" s="460"/>
      <c r="AX5" s="461"/>
      <c r="AY5" s="81"/>
      <c r="AZ5" s="468" t="s">
        <v>286</v>
      </c>
      <c r="BA5" s="469"/>
      <c r="BB5" s="470"/>
      <c r="BC5" s="459" t="s">
        <v>281</v>
      </c>
      <c r="BD5" s="460"/>
      <c r="BE5" s="460"/>
      <c r="BF5" s="460"/>
      <c r="BG5" s="460"/>
      <c r="BH5" s="461"/>
      <c r="BI5" s="81"/>
      <c r="BJ5" s="468" t="s">
        <v>287</v>
      </c>
      <c r="BK5" s="469"/>
      <c r="BL5" s="470"/>
      <c r="BM5" s="459" t="s">
        <v>281</v>
      </c>
      <c r="BN5" s="460"/>
      <c r="BO5" s="460"/>
      <c r="BP5" s="460"/>
      <c r="BQ5" s="460"/>
      <c r="BR5" s="461"/>
    </row>
    <row r="6" spans="1:71" s="84" customFormat="1" ht="9" customHeight="1" x14ac:dyDescent="0.25">
      <c r="B6" s="85"/>
      <c r="C6" s="86"/>
      <c r="D6" s="86"/>
      <c r="E6" s="86"/>
      <c r="F6" s="86"/>
      <c r="G6" s="86"/>
      <c r="H6" s="86"/>
      <c r="I6" s="86"/>
      <c r="J6" s="87"/>
      <c r="K6" s="88"/>
      <c r="L6" s="85"/>
      <c r="M6" s="86"/>
      <c r="N6" s="86"/>
      <c r="O6" s="86"/>
      <c r="P6" s="86"/>
      <c r="Q6" s="86"/>
      <c r="R6" s="86"/>
      <c r="S6" s="86"/>
      <c r="T6" s="87"/>
      <c r="U6" s="89"/>
      <c r="V6" s="85"/>
      <c r="W6" s="86"/>
      <c r="X6" s="86"/>
      <c r="Y6" s="86"/>
      <c r="Z6" s="86"/>
      <c r="AA6" s="86"/>
      <c r="AB6" s="86"/>
      <c r="AC6" s="86"/>
      <c r="AD6" s="87"/>
      <c r="AE6" s="88"/>
      <c r="AF6" s="85"/>
      <c r="AG6" s="86"/>
      <c r="AH6" s="86"/>
      <c r="AI6" s="86"/>
      <c r="AJ6" s="86"/>
      <c r="AK6" s="86"/>
      <c r="AL6" s="86"/>
      <c r="AM6" s="86"/>
      <c r="AN6" s="87"/>
      <c r="AO6" s="89"/>
      <c r="AP6" s="85"/>
      <c r="AQ6" s="86"/>
      <c r="AR6" s="86"/>
      <c r="AS6" s="86"/>
      <c r="AT6" s="86"/>
      <c r="AU6" s="86"/>
      <c r="AV6" s="86"/>
      <c r="AW6" s="86"/>
      <c r="AX6" s="87"/>
      <c r="AY6" s="89"/>
      <c r="AZ6" s="85"/>
      <c r="BA6" s="86"/>
      <c r="BB6" s="86"/>
      <c r="BC6" s="86"/>
      <c r="BD6" s="86"/>
      <c r="BE6" s="86"/>
      <c r="BF6" s="86"/>
      <c r="BG6" s="86"/>
      <c r="BH6" s="87"/>
      <c r="BI6" s="89"/>
      <c r="BJ6" s="85"/>
      <c r="BK6" s="86"/>
      <c r="BL6" s="86"/>
      <c r="BM6" s="86"/>
      <c r="BN6" s="86"/>
      <c r="BO6" s="86"/>
      <c r="BP6" s="86"/>
      <c r="BQ6" s="86"/>
      <c r="BR6" s="87"/>
    </row>
    <row r="7" spans="1:71" s="73" customFormat="1" ht="9" customHeight="1" x14ac:dyDescent="0.25">
      <c r="A7" s="90"/>
      <c r="B7" s="81"/>
      <c r="C7" s="81"/>
      <c r="D7" s="81"/>
      <c r="E7" s="81"/>
      <c r="F7" s="81"/>
      <c r="G7" s="81"/>
      <c r="H7" s="81"/>
      <c r="I7" s="81"/>
      <c r="J7" s="83"/>
      <c r="K7" s="91"/>
      <c r="L7" s="81"/>
      <c r="M7" s="81"/>
      <c r="N7" s="81"/>
      <c r="O7" s="81"/>
      <c r="P7" s="81"/>
      <c r="Q7" s="81"/>
      <c r="R7" s="81"/>
      <c r="S7" s="81"/>
      <c r="T7" s="83"/>
      <c r="U7" s="83"/>
      <c r="V7" s="81"/>
      <c r="W7" s="81"/>
      <c r="X7" s="81"/>
      <c r="Y7" s="81"/>
      <c r="Z7" s="81"/>
      <c r="AA7" s="81"/>
      <c r="AB7" s="81"/>
      <c r="AC7" s="81"/>
      <c r="AD7" s="83"/>
      <c r="AE7" s="91"/>
      <c r="AF7" s="81"/>
      <c r="AG7" s="81"/>
      <c r="AH7" s="81"/>
      <c r="AI7" s="81"/>
      <c r="AJ7" s="81"/>
      <c r="AK7" s="81"/>
      <c r="AL7" s="81"/>
      <c r="AM7" s="81"/>
      <c r="AN7" s="83"/>
      <c r="AO7" s="83"/>
      <c r="AP7" s="81"/>
      <c r="AQ7" s="81"/>
      <c r="AR7" s="81"/>
      <c r="AS7" s="81"/>
      <c r="AT7" s="81"/>
      <c r="AU7" s="81"/>
      <c r="AV7" s="81"/>
      <c r="AW7" s="81"/>
      <c r="AX7" s="83"/>
      <c r="AY7" s="83"/>
      <c r="AZ7" s="81"/>
      <c r="BA7" s="81"/>
      <c r="BB7" s="81"/>
      <c r="BC7" s="81"/>
      <c r="BD7" s="81"/>
      <c r="BE7" s="81"/>
      <c r="BF7" s="81"/>
      <c r="BG7" s="81"/>
      <c r="BH7" s="83"/>
      <c r="BI7" s="83"/>
      <c r="BJ7" s="81"/>
      <c r="BK7" s="81"/>
      <c r="BL7" s="81"/>
      <c r="BM7" s="81"/>
      <c r="BN7" s="81"/>
      <c r="BO7" s="81"/>
      <c r="BP7" s="81"/>
      <c r="BQ7" s="81"/>
      <c r="BR7" s="83"/>
    </row>
    <row r="8" spans="1:71" s="73" customFormat="1" ht="9" customHeight="1" x14ac:dyDescent="0.25">
      <c r="A8" s="90"/>
      <c r="B8" s="81"/>
      <c r="C8" s="81"/>
      <c r="D8" s="81"/>
      <c r="E8" s="81"/>
      <c r="F8" s="81"/>
      <c r="G8" s="81"/>
      <c r="H8" s="81"/>
      <c r="I8" s="81"/>
      <c r="J8" s="83"/>
      <c r="K8" s="91"/>
      <c r="L8" s="81"/>
      <c r="M8" s="81"/>
      <c r="N8" s="81"/>
      <c r="O8" s="81"/>
      <c r="P8" s="81"/>
      <c r="Q8" s="81"/>
      <c r="R8" s="81"/>
      <c r="S8" s="81"/>
      <c r="T8" s="83"/>
      <c r="U8" s="83"/>
      <c r="V8" s="81"/>
      <c r="W8" s="81"/>
      <c r="X8" s="81"/>
      <c r="Y8" s="81"/>
      <c r="Z8" s="81"/>
      <c r="AA8" s="81"/>
      <c r="AB8" s="81"/>
      <c r="AC8" s="81"/>
      <c r="AD8" s="83"/>
      <c r="AE8" s="91"/>
      <c r="AF8" s="81"/>
      <c r="AG8" s="81"/>
      <c r="AH8" s="81"/>
      <c r="AI8" s="81"/>
      <c r="AJ8" s="81"/>
      <c r="AK8" s="81"/>
      <c r="AL8" s="81"/>
      <c r="AM8" s="81"/>
      <c r="AN8" s="83"/>
      <c r="AO8" s="83"/>
      <c r="AP8" s="81"/>
      <c r="AQ8" s="81"/>
      <c r="AR8" s="81"/>
      <c r="AS8" s="81"/>
      <c r="AT8" s="81"/>
      <c r="AU8" s="81"/>
      <c r="AV8" s="81"/>
      <c r="AW8" s="81"/>
      <c r="AX8" s="83"/>
      <c r="AY8" s="83"/>
      <c r="AZ8" s="81"/>
      <c r="BA8" s="81"/>
      <c r="BB8" s="81"/>
      <c r="BC8" s="81"/>
      <c r="BD8" s="81"/>
      <c r="BE8" s="81"/>
      <c r="BF8" s="81"/>
      <c r="BG8" s="81"/>
      <c r="BH8" s="83"/>
      <c r="BI8" s="83"/>
      <c r="BJ8" s="81"/>
      <c r="BK8" s="81"/>
      <c r="BL8" s="81"/>
      <c r="BM8" s="81"/>
      <c r="BN8" s="81"/>
      <c r="BO8" s="81"/>
      <c r="BP8" s="81"/>
      <c r="BQ8" s="81"/>
      <c r="BR8" s="83"/>
    </row>
    <row r="9" spans="1:71" s="73" customFormat="1" ht="9" customHeight="1" x14ac:dyDescent="0.25">
      <c r="A9" s="90"/>
      <c r="B9" s="81"/>
      <c r="C9" s="81"/>
      <c r="D9" s="81"/>
      <c r="E9" s="81"/>
      <c r="F9" s="81"/>
      <c r="G9" s="81"/>
      <c r="H9" s="81"/>
      <c r="I9" s="81"/>
      <c r="J9" s="83"/>
      <c r="K9" s="91"/>
      <c r="L9" s="81"/>
      <c r="M9" s="81"/>
      <c r="N9" s="81"/>
      <c r="O9" s="81"/>
      <c r="P9" s="81"/>
      <c r="Q9" s="81"/>
      <c r="R9" s="81"/>
      <c r="S9" s="81"/>
      <c r="T9" s="83"/>
      <c r="U9" s="83"/>
      <c r="V9" s="81"/>
      <c r="W9" s="81"/>
      <c r="X9" s="81"/>
      <c r="Y9" s="81"/>
      <c r="Z9" s="81"/>
      <c r="AA9" s="81"/>
      <c r="AB9" s="81"/>
      <c r="AC9" s="81"/>
      <c r="AD9" s="83"/>
      <c r="AE9" s="91"/>
      <c r="AF9" s="81"/>
      <c r="AG9" s="81"/>
      <c r="AH9" s="81"/>
      <c r="AI9" s="81"/>
      <c r="AJ9" s="81"/>
      <c r="AK9" s="81"/>
      <c r="AL9" s="81"/>
      <c r="AM9" s="81"/>
      <c r="AN9" s="83"/>
      <c r="AO9" s="83"/>
      <c r="AP9" s="81"/>
      <c r="AQ9" s="81"/>
      <c r="AR9" s="81"/>
      <c r="AS9" s="81"/>
      <c r="AT9" s="81"/>
      <c r="AU9" s="81"/>
      <c r="AV9" s="81"/>
      <c r="AW9" s="81"/>
      <c r="AX9" s="83"/>
      <c r="AY9" s="83"/>
      <c r="AZ9" s="81"/>
      <c r="BA9" s="81"/>
      <c r="BB9" s="81"/>
      <c r="BC9" s="81"/>
      <c r="BD9" s="81"/>
      <c r="BE9" s="81"/>
      <c r="BF9" s="81"/>
      <c r="BG9" s="81"/>
      <c r="BH9" s="83"/>
      <c r="BI9" s="83"/>
      <c r="BJ9" s="81"/>
      <c r="BK9" s="81"/>
      <c r="BL9" s="81"/>
      <c r="BM9" s="81"/>
      <c r="BN9" s="81"/>
      <c r="BO9" s="81"/>
      <c r="BP9" s="81"/>
      <c r="BQ9" s="81"/>
      <c r="BR9" s="83"/>
    </row>
    <row r="10" spans="1:71" s="73" customFormat="1" ht="9" customHeight="1" x14ac:dyDescent="0.25">
      <c r="A10" s="90"/>
      <c r="B10" s="81"/>
      <c r="C10" s="81"/>
      <c r="D10" s="81"/>
      <c r="E10" s="81"/>
      <c r="F10" s="81"/>
      <c r="G10" s="81"/>
      <c r="H10" s="81"/>
      <c r="I10" s="81"/>
      <c r="J10" s="83"/>
      <c r="K10" s="91"/>
      <c r="L10" s="81"/>
      <c r="M10" s="81"/>
      <c r="N10" s="81"/>
      <c r="O10" s="81"/>
      <c r="P10" s="81"/>
      <c r="Q10" s="81"/>
      <c r="R10" s="81"/>
      <c r="S10" s="81"/>
      <c r="T10" s="83"/>
      <c r="U10" s="83"/>
      <c r="V10" s="81"/>
      <c r="W10" s="81"/>
      <c r="X10" s="81"/>
      <c r="Y10" s="81"/>
      <c r="Z10" s="81"/>
      <c r="AA10" s="81"/>
      <c r="AB10" s="81"/>
      <c r="AC10" s="81"/>
      <c r="AD10" s="83"/>
      <c r="AE10" s="91"/>
      <c r="AF10" s="81"/>
      <c r="AG10" s="81"/>
      <c r="AH10" s="81"/>
      <c r="AI10" s="81"/>
      <c r="AJ10" s="81"/>
      <c r="AK10" s="81"/>
      <c r="AL10" s="81"/>
      <c r="AM10" s="81"/>
      <c r="AN10" s="83"/>
      <c r="AO10" s="83"/>
      <c r="AP10" s="81"/>
      <c r="AQ10" s="81"/>
      <c r="AR10" s="81"/>
      <c r="AS10" s="81"/>
      <c r="AT10" s="81"/>
      <c r="AU10" s="81"/>
      <c r="AV10" s="81"/>
      <c r="AW10" s="81"/>
      <c r="AX10" s="83"/>
      <c r="AY10" s="91"/>
      <c r="AZ10" s="81"/>
      <c r="BA10" s="81"/>
      <c r="BB10" s="81"/>
      <c r="BC10" s="81"/>
      <c r="BD10" s="81"/>
      <c r="BE10" s="81"/>
      <c r="BF10" s="81"/>
      <c r="BG10" s="81"/>
      <c r="BH10" s="83"/>
      <c r="BI10" s="91"/>
      <c r="BJ10" s="81"/>
      <c r="BK10" s="81"/>
      <c r="BL10" s="81"/>
      <c r="BM10" s="81"/>
      <c r="BN10" s="81"/>
      <c r="BO10" s="81"/>
      <c r="BP10" s="81"/>
      <c r="BQ10" s="81"/>
      <c r="BR10" s="83"/>
    </row>
    <row r="11" spans="1:71" s="73" customFormat="1" ht="9" customHeight="1" x14ac:dyDescent="0.25">
      <c r="A11" s="90"/>
      <c r="B11" s="81"/>
      <c r="C11" s="81"/>
      <c r="D11" s="81"/>
      <c r="E11" s="81"/>
      <c r="F11" s="81"/>
      <c r="G11" s="81"/>
      <c r="H11" s="81"/>
      <c r="I11" s="81"/>
      <c r="J11" s="83"/>
      <c r="K11" s="91"/>
      <c r="L11" s="81"/>
      <c r="M11" s="81"/>
      <c r="N11" s="81"/>
      <c r="O11" s="81"/>
      <c r="P11" s="81"/>
      <c r="Q11" s="81"/>
      <c r="R11" s="81"/>
      <c r="S11" s="81"/>
      <c r="T11" s="83"/>
      <c r="U11" s="83"/>
      <c r="V11" s="81"/>
      <c r="W11" s="81"/>
      <c r="X11" s="81"/>
      <c r="Y11" s="81"/>
      <c r="Z11" s="81"/>
      <c r="AA11" s="81"/>
      <c r="AB11" s="81"/>
      <c r="AC11" s="81"/>
      <c r="AD11" s="83"/>
      <c r="AE11" s="91"/>
      <c r="AF11" s="81"/>
      <c r="AG11" s="81"/>
      <c r="AH11" s="81"/>
      <c r="AI11" s="81"/>
      <c r="AJ11" s="81"/>
      <c r="AK11" s="81"/>
      <c r="AL11" s="81"/>
      <c r="AM11" s="81"/>
      <c r="AN11" s="83"/>
      <c r="AO11" s="83"/>
      <c r="AP11" s="81"/>
      <c r="AQ11" s="81"/>
      <c r="AR11" s="81"/>
      <c r="AS11" s="81"/>
      <c r="AT11" s="81"/>
      <c r="AU11" s="81"/>
      <c r="AV11" s="81"/>
      <c r="AW11" s="81"/>
      <c r="AX11" s="83"/>
      <c r="AY11" s="91"/>
      <c r="AZ11" s="81"/>
      <c r="BA11" s="81"/>
      <c r="BB11" s="81"/>
      <c r="BC11" s="81"/>
      <c r="BD11" s="81"/>
      <c r="BE11" s="81"/>
      <c r="BF11" s="81"/>
      <c r="BG11" s="81"/>
      <c r="BH11" s="83"/>
      <c r="BI11" s="91"/>
      <c r="BJ11" s="81"/>
      <c r="BK11" s="81"/>
      <c r="BL11" s="81"/>
      <c r="BM11" s="81"/>
      <c r="BN11" s="81"/>
      <c r="BO11" s="81"/>
      <c r="BP11" s="81"/>
      <c r="BQ11" s="81"/>
      <c r="BR11" s="83"/>
    </row>
    <row r="12" spans="1:71" s="73" customFormat="1" ht="9.75" customHeight="1" x14ac:dyDescent="0.25">
      <c r="A12" s="90"/>
      <c r="B12" s="81"/>
      <c r="C12" s="81"/>
      <c r="D12" s="81"/>
      <c r="E12" s="81"/>
      <c r="F12" s="81"/>
      <c r="G12" s="81"/>
      <c r="H12" s="81"/>
      <c r="I12" s="81"/>
      <c r="J12" s="83"/>
      <c r="K12" s="91"/>
      <c r="L12" s="81"/>
      <c r="M12" s="81"/>
      <c r="N12" s="81"/>
      <c r="O12" s="81"/>
      <c r="P12" s="81"/>
      <c r="Q12" s="81"/>
      <c r="R12" s="81"/>
      <c r="S12" s="81"/>
      <c r="T12" s="83"/>
      <c r="U12" s="83"/>
      <c r="V12" s="81"/>
      <c r="W12" s="81"/>
      <c r="X12" s="81"/>
      <c r="Y12" s="81"/>
      <c r="Z12" s="81"/>
      <c r="AA12" s="81"/>
      <c r="AB12" s="81"/>
      <c r="AC12" s="81"/>
      <c r="AD12" s="83"/>
      <c r="AE12" s="91"/>
      <c r="AF12" s="81"/>
      <c r="AG12" s="81"/>
      <c r="AH12" s="81"/>
      <c r="AI12" s="81"/>
      <c r="AJ12" s="81"/>
      <c r="AK12" s="81"/>
      <c r="AL12" s="81"/>
      <c r="AM12" s="81"/>
      <c r="AN12" s="83"/>
      <c r="AO12" s="83"/>
      <c r="AP12" s="81"/>
      <c r="AQ12" s="81"/>
      <c r="AR12" s="81"/>
      <c r="AS12" s="81"/>
      <c r="AT12" s="81"/>
      <c r="AU12" s="81"/>
      <c r="AV12" s="81"/>
      <c r="AW12" s="81"/>
      <c r="AX12" s="83"/>
      <c r="AY12" s="91"/>
      <c r="AZ12" s="81"/>
      <c r="BA12" s="81"/>
      <c r="BB12" s="81"/>
      <c r="BC12" s="81"/>
      <c r="BD12" s="81"/>
      <c r="BE12" s="81"/>
      <c r="BF12" s="81"/>
      <c r="BG12" s="81"/>
      <c r="BH12" s="83"/>
      <c r="BI12" s="91"/>
      <c r="BJ12" s="81"/>
      <c r="BK12" s="81"/>
      <c r="BL12" s="81"/>
      <c r="BM12" s="81"/>
      <c r="BN12" s="81"/>
      <c r="BO12" s="81"/>
      <c r="BP12" s="81"/>
      <c r="BQ12" s="81"/>
      <c r="BR12" s="83"/>
    </row>
    <row r="13" spans="1:71" s="73" customFormat="1" ht="9" customHeight="1" x14ac:dyDescent="0.25">
      <c r="B13" s="85"/>
      <c r="C13" s="86"/>
      <c r="D13" s="86"/>
      <c r="E13" s="86"/>
      <c r="F13" s="86"/>
      <c r="G13" s="86"/>
      <c r="H13" s="86"/>
      <c r="I13" s="86"/>
      <c r="J13" s="87"/>
      <c r="K13" s="91"/>
      <c r="L13" s="86"/>
      <c r="M13" s="86"/>
      <c r="N13" s="86"/>
      <c r="O13" s="86"/>
      <c r="P13" s="86"/>
      <c r="Q13" s="86"/>
      <c r="R13" s="86"/>
      <c r="S13" s="86"/>
      <c r="T13" s="87"/>
      <c r="U13" s="83"/>
      <c r="V13" s="86"/>
      <c r="W13" s="86"/>
      <c r="X13" s="86"/>
      <c r="Y13" s="86"/>
      <c r="Z13" s="86"/>
      <c r="AA13" s="86"/>
      <c r="AB13" s="86"/>
      <c r="AC13" s="86"/>
      <c r="AD13" s="87"/>
      <c r="AE13" s="92"/>
      <c r="AF13" s="86"/>
      <c r="AG13" s="86"/>
      <c r="AH13" s="86"/>
      <c r="AI13" s="86"/>
      <c r="AJ13" s="86"/>
      <c r="AK13" s="86"/>
      <c r="AL13" s="86"/>
      <c r="AM13" s="86"/>
      <c r="AN13" s="87"/>
      <c r="AO13" s="87"/>
      <c r="AP13" s="86"/>
      <c r="AQ13" s="86"/>
      <c r="AR13" s="86"/>
      <c r="AS13" s="86"/>
      <c r="AT13" s="86"/>
      <c r="AU13" s="86"/>
      <c r="AV13" s="86"/>
      <c r="AW13" s="86"/>
      <c r="AX13" s="87"/>
      <c r="AY13" s="91"/>
      <c r="AZ13" s="86"/>
      <c r="BA13" s="86"/>
      <c r="BB13" s="86"/>
      <c r="BC13" s="86"/>
      <c r="BD13" s="86"/>
      <c r="BE13" s="86"/>
      <c r="BF13" s="86"/>
      <c r="BG13" s="86"/>
      <c r="BH13" s="87"/>
      <c r="BI13" s="91"/>
      <c r="BJ13" s="86"/>
      <c r="BK13" s="86"/>
      <c r="BL13" s="86"/>
      <c r="BM13" s="86"/>
      <c r="BN13" s="86"/>
      <c r="BO13" s="86"/>
      <c r="BP13" s="86"/>
      <c r="BQ13" s="86"/>
      <c r="BR13" s="87"/>
    </row>
    <row r="14" spans="1:71" s="73" customFormat="1" ht="9" customHeight="1" x14ac:dyDescent="0.25">
      <c r="B14" s="85"/>
      <c r="C14" s="86"/>
      <c r="D14" s="86"/>
      <c r="E14" s="86"/>
      <c r="F14" s="86"/>
      <c r="G14" s="86"/>
      <c r="H14" s="86"/>
      <c r="I14" s="86"/>
      <c r="J14" s="87"/>
      <c r="K14" s="91"/>
      <c r="L14" s="86"/>
      <c r="M14" s="86"/>
      <c r="N14" s="86"/>
      <c r="O14" s="86"/>
      <c r="P14" s="86"/>
      <c r="Q14" s="86"/>
      <c r="R14" s="86"/>
      <c r="S14" s="86"/>
      <c r="T14" s="87"/>
      <c r="U14" s="83"/>
      <c r="V14" s="86"/>
      <c r="W14" s="86"/>
      <c r="X14" s="86"/>
      <c r="Y14" s="86"/>
      <c r="Z14" s="86"/>
      <c r="AA14" s="86"/>
      <c r="AB14" s="86"/>
      <c r="AC14" s="86"/>
      <c r="AD14" s="87"/>
      <c r="AE14" s="92"/>
      <c r="AF14" s="86"/>
      <c r="AG14" s="86"/>
      <c r="AH14" s="86"/>
      <c r="AI14" s="86"/>
      <c r="AJ14" s="86"/>
      <c r="AK14" s="86"/>
      <c r="AL14" s="86"/>
      <c r="AM14" s="86"/>
      <c r="AN14" s="87"/>
      <c r="AO14" s="87"/>
      <c r="AP14" s="86"/>
      <c r="AQ14" s="86"/>
      <c r="AR14" s="86"/>
      <c r="AS14" s="86"/>
      <c r="AT14" s="86"/>
      <c r="AU14" s="86"/>
      <c r="AV14" s="86"/>
      <c r="AW14" s="86"/>
      <c r="AX14" s="87"/>
      <c r="AY14" s="91"/>
      <c r="AZ14" s="86"/>
      <c r="BA14" s="86"/>
      <c r="BB14" s="86"/>
      <c r="BC14" s="86"/>
      <c r="BD14" s="86"/>
      <c r="BE14" s="86"/>
      <c r="BF14" s="86"/>
      <c r="BG14" s="86"/>
      <c r="BH14" s="87"/>
      <c r="BI14" s="91"/>
      <c r="BJ14" s="86"/>
      <c r="BK14" s="86"/>
      <c r="BL14" s="86"/>
      <c r="BM14" s="86"/>
      <c r="BN14" s="86"/>
      <c r="BO14" s="86"/>
      <c r="BP14" s="86"/>
      <c r="BQ14" s="86"/>
      <c r="BR14" s="87"/>
    </row>
    <row r="15" spans="1:71" s="73" customFormat="1" ht="9" customHeight="1" x14ac:dyDescent="0.25">
      <c r="B15" s="81"/>
      <c r="C15" s="81"/>
      <c r="D15" s="81"/>
      <c r="E15" s="81"/>
      <c r="F15" s="81"/>
      <c r="G15" s="81"/>
      <c r="H15" s="81"/>
      <c r="I15" s="81"/>
      <c r="J15" s="83"/>
      <c r="K15" s="91"/>
      <c r="L15" s="81"/>
      <c r="M15" s="81"/>
      <c r="N15" s="81"/>
      <c r="O15" s="81"/>
      <c r="P15" s="81"/>
      <c r="Q15" s="81"/>
      <c r="R15" s="81"/>
      <c r="S15" s="81"/>
      <c r="T15" s="83"/>
      <c r="U15" s="83"/>
      <c r="V15" s="81"/>
      <c r="W15" s="81"/>
      <c r="X15" s="81"/>
      <c r="Y15" s="81"/>
      <c r="Z15" s="81"/>
      <c r="AA15" s="81"/>
      <c r="AB15" s="81"/>
      <c r="AC15" s="81"/>
      <c r="AD15" s="83"/>
      <c r="AE15" s="91"/>
      <c r="AF15" s="81"/>
      <c r="AG15" s="81"/>
      <c r="AH15" s="81"/>
      <c r="AI15" s="81"/>
      <c r="AJ15" s="81"/>
      <c r="AK15" s="81"/>
      <c r="AL15" s="81"/>
      <c r="AM15" s="81"/>
      <c r="AN15" s="83"/>
      <c r="AO15" s="83"/>
      <c r="AP15" s="81"/>
      <c r="AQ15" s="81"/>
      <c r="AR15" s="81"/>
      <c r="AS15" s="81"/>
      <c r="AT15" s="81"/>
      <c r="AU15" s="81"/>
      <c r="AV15" s="81"/>
      <c r="AW15" s="81"/>
      <c r="AX15" s="83"/>
      <c r="AY15" s="91"/>
      <c r="AZ15" s="81"/>
      <c r="BA15" s="81"/>
      <c r="BB15" s="81"/>
      <c r="BC15" s="81"/>
      <c r="BD15" s="81"/>
      <c r="BE15" s="81"/>
      <c r="BF15" s="81"/>
      <c r="BG15" s="81"/>
      <c r="BH15" s="83"/>
      <c r="BI15" s="91"/>
      <c r="BJ15" s="81"/>
      <c r="BK15" s="81"/>
      <c r="BL15" s="81"/>
      <c r="BM15" s="81"/>
      <c r="BN15" s="81"/>
      <c r="BO15" s="81"/>
      <c r="BP15" s="81"/>
      <c r="BQ15" s="81"/>
      <c r="BR15" s="83"/>
    </row>
    <row r="16" spans="1:71" s="73" customFormat="1" ht="9" customHeight="1" x14ac:dyDescent="0.25">
      <c r="B16" s="454" t="s">
        <v>288</v>
      </c>
      <c r="C16" s="454"/>
      <c r="D16" s="454"/>
      <c r="E16" s="454"/>
      <c r="F16" s="454"/>
      <c r="G16" s="453">
        <f>CEILING(1708*B3,1)</f>
        <v>3246</v>
      </c>
      <c r="H16" s="453"/>
      <c r="I16" s="453"/>
      <c r="J16" s="453"/>
      <c r="K16" s="75"/>
      <c r="L16" s="454" t="s">
        <v>288</v>
      </c>
      <c r="M16" s="454"/>
      <c r="N16" s="454"/>
      <c r="O16" s="454"/>
      <c r="P16" s="454"/>
      <c r="Q16" s="453">
        <f>CEILING(2468*B3,1)</f>
        <v>4690</v>
      </c>
      <c r="R16" s="453"/>
      <c r="S16" s="453"/>
      <c r="T16" s="453"/>
      <c r="U16" s="75"/>
      <c r="V16" s="454" t="s">
        <v>288</v>
      </c>
      <c r="W16" s="454"/>
      <c r="X16" s="454"/>
      <c r="Y16" s="454"/>
      <c r="Z16" s="454"/>
      <c r="AA16" s="453">
        <f>CEILING(2631*B3,1)</f>
        <v>4999</v>
      </c>
      <c r="AB16" s="453"/>
      <c r="AC16" s="453"/>
      <c r="AD16" s="453"/>
      <c r="AE16" s="75"/>
      <c r="AF16" s="454" t="s">
        <v>288</v>
      </c>
      <c r="AG16" s="454"/>
      <c r="AH16" s="454"/>
      <c r="AI16" s="454"/>
      <c r="AJ16" s="454"/>
      <c r="AK16" s="453">
        <f>CEILING(2788*B3,1)</f>
        <v>5298</v>
      </c>
      <c r="AL16" s="453"/>
      <c r="AM16" s="453"/>
      <c r="AN16" s="453"/>
      <c r="AO16" s="75"/>
      <c r="AP16" s="454" t="s">
        <v>288</v>
      </c>
      <c r="AQ16" s="454"/>
      <c r="AR16" s="454"/>
      <c r="AS16" s="454"/>
      <c r="AT16" s="454"/>
      <c r="AU16" s="453">
        <f>CEILING(2849*B3,1)</f>
        <v>5414</v>
      </c>
      <c r="AV16" s="453"/>
      <c r="AW16" s="453"/>
      <c r="AX16" s="453"/>
      <c r="AY16" s="75"/>
      <c r="AZ16" s="454" t="s">
        <v>288</v>
      </c>
      <c r="BA16" s="454"/>
      <c r="BB16" s="454"/>
      <c r="BC16" s="454"/>
      <c r="BD16" s="454"/>
      <c r="BE16" s="453">
        <f>CEILING(2985*B3,1)</f>
        <v>5672</v>
      </c>
      <c r="BF16" s="453"/>
      <c r="BG16" s="453"/>
      <c r="BH16" s="453"/>
      <c r="BI16" s="75"/>
      <c r="BJ16" s="454" t="s">
        <v>288</v>
      </c>
      <c r="BK16" s="454"/>
      <c r="BL16" s="454"/>
      <c r="BM16" s="454"/>
      <c r="BN16" s="454"/>
      <c r="BO16" s="453">
        <f>CEILING(3390*B3,1)</f>
        <v>6441</v>
      </c>
      <c r="BP16" s="453"/>
      <c r="BQ16" s="453"/>
      <c r="BR16" s="453"/>
    </row>
    <row r="17" spans="1:72" s="73" customFormat="1" ht="1.5" customHeight="1" x14ac:dyDescent="0.25">
      <c r="B17" s="81"/>
      <c r="C17" s="81"/>
      <c r="D17" s="81"/>
      <c r="E17" s="81"/>
      <c r="F17" s="81"/>
      <c r="G17" s="81"/>
      <c r="H17" s="81"/>
      <c r="I17" s="81"/>
      <c r="J17" s="81"/>
      <c r="K17" s="81"/>
      <c r="L17" s="81"/>
      <c r="M17" s="81"/>
      <c r="N17" s="81"/>
      <c r="O17" s="81"/>
      <c r="P17" s="81"/>
      <c r="Q17" s="81"/>
      <c r="R17" s="81"/>
      <c r="S17" s="81"/>
      <c r="T17" s="81"/>
      <c r="U17" s="81"/>
      <c r="V17" s="81"/>
      <c r="W17" s="81"/>
      <c r="X17" s="81"/>
      <c r="Y17" s="93"/>
      <c r="Z17" s="93"/>
      <c r="AA17" s="93"/>
      <c r="AB17" s="93"/>
      <c r="AC17" s="93"/>
      <c r="AD17" s="93"/>
      <c r="AE17" s="81"/>
      <c r="AF17" s="81"/>
      <c r="AG17" s="81"/>
      <c r="AH17" s="81"/>
      <c r="AI17" s="81"/>
      <c r="AJ17" s="81"/>
      <c r="AK17" s="81"/>
      <c r="AL17" s="81"/>
      <c r="AM17" s="81"/>
      <c r="AN17" s="81"/>
      <c r="AO17" s="81"/>
      <c r="AP17" s="81"/>
      <c r="AQ17" s="93"/>
      <c r="AR17" s="93"/>
      <c r="AS17" s="93"/>
      <c r="AT17" s="93"/>
      <c r="AU17" s="93"/>
      <c r="AV17" s="93"/>
      <c r="AW17" s="93"/>
      <c r="AX17" s="93"/>
      <c r="AY17" s="81"/>
      <c r="AZ17" s="81"/>
      <c r="BA17" s="81"/>
      <c r="BB17" s="81"/>
      <c r="BC17" s="81"/>
      <c r="BD17" s="81"/>
      <c r="BE17" s="81"/>
      <c r="BF17" s="81"/>
      <c r="BG17" s="81"/>
      <c r="BH17" s="81"/>
      <c r="BI17" s="81"/>
      <c r="BJ17" s="81"/>
      <c r="BK17" s="81"/>
      <c r="BL17" s="81"/>
      <c r="BM17" s="81"/>
      <c r="BN17" s="81"/>
      <c r="BO17" s="81"/>
      <c r="BP17" s="81"/>
      <c r="BQ17" s="81"/>
      <c r="BR17" s="81"/>
    </row>
    <row r="18" spans="1:72" s="73" customFormat="1" ht="9" customHeight="1" x14ac:dyDescent="0.25">
      <c r="B18" s="464" t="s">
        <v>289</v>
      </c>
      <c r="C18" s="465"/>
      <c r="D18" s="466"/>
      <c r="E18" s="467" t="s">
        <v>290</v>
      </c>
      <c r="F18" s="462"/>
      <c r="G18" s="462"/>
      <c r="H18" s="462"/>
      <c r="I18" s="462"/>
      <c r="J18" s="463"/>
      <c r="K18" s="81"/>
      <c r="L18" s="464" t="s">
        <v>291</v>
      </c>
      <c r="M18" s="465"/>
      <c r="N18" s="466"/>
      <c r="O18" s="467" t="s">
        <v>290</v>
      </c>
      <c r="P18" s="462"/>
      <c r="Q18" s="462"/>
      <c r="R18" s="462"/>
      <c r="S18" s="462"/>
      <c r="T18" s="463"/>
      <c r="U18" s="81"/>
      <c r="V18" s="464" t="s">
        <v>292</v>
      </c>
      <c r="W18" s="465"/>
      <c r="X18" s="466"/>
      <c r="Y18" s="467" t="s">
        <v>290</v>
      </c>
      <c r="Z18" s="462"/>
      <c r="AA18" s="462"/>
      <c r="AB18" s="462"/>
      <c r="AC18" s="462"/>
      <c r="AD18" s="463"/>
      <c r="AE18" s="81"/>
      <c r="AF18" s="464" t="s">
        <v>293</v>
      </c>
      <c r="AG18" s="465"/>
      <c r="AH18" s="466"/>
      <c r="AI18" s="467" t="s">
        <v>290</v>
      </c>
      <c r="AJ18" s="462"/>
      <c r="AK18" s="462"/>
      <c r="AL18" s="462"/>
      <c r="AM18" s="462"/>
      <c r="AN18" s="463"/>
      <c r="AO18" s="81"/>
      <c r="AP18" s="464" t="s">
        <v>294</v>
      </c>
      <c r="AQ18" s="465"/>
      <c r="AR18" s="466"/>
      <c r="AS18" s="467" t="s">
        <v>290</v>
      </c>
      <c r="AT18" s="462"/>
      <c r="AU18" s="462"/>
      <c r="AV18" s="462"/>
      <c r="AW18" s="462"/>
      <c r="AX18" s="463"/>
      <c r="AY18" s="81"/>
      <c r="AZ18" s="464" t="s">
        <v>295</v>
      </c>
      <c r="BA18" s="465"/>
      <c r="BB18" s="466"/>
      <c r="BC18" s="467" t="s">
        <v>290</v>
      </c>
      <c r="BD18" s="462"/>
      <c r="BE18" s="462"/>
      <c r="BF18" s="462"/>
      <c r="BG18" s="462"/>
      <c r="BH18" s="463"/>
      <c r="BI18" s="81"/>
      <c r="BJ18" s="464" t="s">
        <v>296</v>
      </c>
      <c r="BK18" s="465"/>
      <c r="BL18" s="466"/>
      <c r="BM18" s="467" t="s">
        <v>290</v>
      </c>
      <c r="BN18" s="462"/>
      <c r="BO18" s="462"/>
      <c r="BP18" s="462"/>
      <c r="BQ18" s="462"/>
      <c r="BR18" s="463"/>
    </row>
    <row r="19" spans="1:72" s="84" customFormat="1" ht="9" customHeight="1" x14ac:dyDescent="0.25">
      <c r="B19" s="459" t="s">
        <v>297</v>
      </c>
      <c r="C19" s="460"/>
      <c r="D19" s="460"/>
      <c r="E19" s="460"/>
      <c r="F19" s="460"/>
      <c r="G19" s="460"/>
      <c r="H19" s="460"/>
      <c r="I19" s="460"/>
      <c r="J19" s="461"/>
      <c r="K19" s="88"/>
      <c r="L19" s="459" t="s">
        <v>297</v>
      </c>
      <c r="M19" s="460"/>
      <c r="N19" s="460"/>
      <c r="O19" s="460"/>
      <c r="P19" s="460"/>
      <c r="Q19" s="460"/>
      <c r="R19" s="460"/>
      <c r="S19" s="460"/>
      <c r="T19" s="461"/>
      <c r="U19" s="95"/>
      <c r="V19" s="459" t="s">
        <v>297</v>
      </c>
      <c r="W19" s="460"/>
      <c r="X19" s="460"/>
      <c r="Y19" s="460"/>
      <c r="Z19" s="460"/>
      <c r="AA19" s="460"/>
      <c r="AB19" s="460"/>
      <c r="AC19" s="460"/>
      <c r="AD19" s="461"/>
      <c r="AE19" s="88"/>
      <c r="AF19" s="459" t="s">
        <v>297</v>
      </c>
      <c r="AG19" s="460"/>
      <c r="AH19" s="460"/>
      <c r="AI19" s="460"/>
      <c r="AJ19" s="460"/>
      <c r="AK19" s="460"/>
      <c r="AL19" s="460"/>
      <c r="AM19" s="460"/>
      <c r="AN19" s="461"/>
      <c r="AO19" s="95"/>
      <c r="AP19" s="459" t="s">
        <v>297</v>
      </c>
      <c r="AQ19" s="460"/>
      <c r="AR19" s="460"/>
      <c r="AS19" s="460"/>
      <c r="AT19" s="460"/>
      <c r="AU19" s="460"/>
      <c r="AV19" s="460"/>
      <c r="AW19" s="460"/>
      <c r="AX19" s="461"/>
      <c r="AY19" s="88"/>
      <c r="AZ19" s="459" t="s">
        <v>297</v>
      </c>
      <c r="BA19" s="460"/>
      <c r="BB19" s="460"/>
      <c r="BC19" s="460"/>
      <c r="BD19" s="460"/>
      <c r="BE19" s="460"/>
      <c r="BF19" s="460"/>
      <c r="BG19" s="460"/>
      <c r="BH19" s="461"/>
      <c r="BI19" s="95"/>
      <c r="BJ19" s="459" t="s">
        <v>297</v>
      </c>
      <c r="BK19" s="460"/>
      <c r="BL19" s="460"/>
      <c r="BM19" s="460"/>
      <c r="BN19" s="460"/>
      <c r="BO19" s="460"/>
      <c r="BP19" s="460"/>
      <c r="BQ19" s="460"/>
      <c r="BR19" s="461"/>
    </row>
    <row r="20" spans="1:72" s="73" customFormat="1" ht="9" customHeight="1" x14ac:dyDescent="0.25">
      <c r="A20" s="90"/>
      <c r="B20" s="81"/>
      <c r="C20" s="81"/>
      <c r="D20" s="81"/>
      <c r="E20" s="81"/>
      <c r="F20" s="81"/>
      <c r="G20" s="81"/>
      <c r="H20" s="81"/>
      <c r="I20" s="81"/>
      <c r="J20" s="83"/>
      <c r="K20" s="91"/>
      <c r="L20" s="81"/>
      <c r="M20" s="81"/>
      <c r="N20" s="81"/>
      <c r="O20" s="81"/>
      <c r="P20" s="81"/>
      <c r="Q20" s="81"/>
      <c r="R20" s="81"/>
      <c r="S20" s="81"/>
      <c r="T20" s="83"/>
      <c r="U20" s="91"/>
      <c r="V20" s="81"/>
      <c r="W20" s="81"/>
      <c r="X20" s="81"/>
      <c r="Y20" s="81"/>
      <c r="Z20" s="81"/>
      <c r="AA20" s="81"/>
      <c r="AB20" s="81"/>
      <c r="AC20" s="81"/>
      <c r="AD20" s="83"/>
      <c r="AE20" s="91"/>
      <c r="AF20" s="81"/>
      <c r="AG20" s="81"/>
      <c r="AH20" s="81"/>
      <c r="AI20" s="81"/>
      <c r="AJ20" s="81"/>
      <c r="AK20" s="81"/>
      <c r="AL20" s="81"/>
      <c r="AM20" s="81"/>
      <c r="AN20" s="83"/>
      <c r="AO20" s="91"/>
      <c r="AP20" s="81"/>
      <c r="AQ20" s="81"/>
      <c r="AR20" s="81"/>
      <c r="AS20" s="81"/>
      <c r="AT20" s="81"/>
      <c r="AU20" s="81"/>
      <c r="AV20" s="81"/>
      <c r="AW20" s="81"/>
      <c r="AX20" s="83"/>
      <c r="AY20" s="81"/>
      <c r="AZ20" s="81"/>
      <c r="BA20" s="81"/>
      <c r="BB20" s="81"/>
      <c r="BC20" s="81"/>
      <c r="BD20" s="81"/>
      <c r="BE20" s="81"/>
      <c r="BF20" s="81"/>
      <c r="BG20" s="81"/>
      <c r="BH20" s="83"/>
      <c r="BI20" s="91"/>
      <c r="BJ20" s="81"/>
      <c r="BK20" s="81"/>
      <c r="BL20" s="81"/>
      <c r="BM20" s="81"/>
      <c r="BN20" s="81"/>
      <c r="BO20" s="81"/>
      <c r="BP20" s="81"/>
      <c r="BQ20" s="81"/>
      <c r="BR20" s="83"/>
    </row>
    <row r="21" spans="1:72" s="73" customFormat="1" ht="9" customHeight="1" x14ac:dyDescent="0.25">
      <c r="A21" s="90"/>
      <c r="B21" s="81"/>
      <c r="C21" s="81"/>
      <c r="D21" s="81"/>
      <c r="E21" s="81"/>
      <c r="F21" s="81"/>
      <c r="G21" s="81"/>
      <c r="H21" s="81"/>
      <c r="I21" s="81"/>
      <c r="J21" s="83"/>
      <c r="K21" s="91"/>
      <c r="L21" s="81"/>
      <c r="M21" s="81"/>
      <c r="N21" s="81"/>
      <c r="O21" s="81"/>
      <c r="P21" s="81"/>
      <c r="Q21" s="81"/>
      <c r="R21" s="81"/>
      <c r="S21" s="81"/>
      <c r="T21" s="83"/>
      <c r="U21" s="91"/>
      <c r="V21" s="81"/>
      <c r="W21" s="81"/>
      <c r="X21" s="81"/>
      <c r="Y21" s="81"/>
      <c r="Z21" s="81"/>
      <c r="AA21" s="81"/>
      <c r="AB21" s="81"/>
      <c r="AC21" s="81"/>
      <c r="AD21" s="83"/>
      <c r="AE21" s="91"/>
      <c r="AF21" s="81"/>
      <c r="AG21" s="81"/>
      <c r="AH21" s="81"/>
      <c r="AI21" s="81"/>
      <c r="AJ21" s="81"/>
      <c r="AK21" s="81"/>
      <c r="AL21" s="81"/>
      <c r="AM21" s="81"/>
      <c r="AN21" s="83"/>
      <c r="AO21" s="91"/>
      <c r="AP21" s="81"/>
      <c r="AQ21" s="81"/>
      <c r="AR21" s="81"/>
      <c r="AS21" s="81"/>
      <c r="AT21" s="81"/>
      <c r="AU21" s="81"/>
      <c r="AV21" s="81"/>
      <c r="AW21" s="81"/>
      <c r="AX21" s="83"/>
      <c r="AY21" s="81"/>
      <c r="AZ21" s="81"/>
      <c r="BA21" s="81"/>
      <c r="BB21" s="81"/>
      <c r="BC21" s="81"/>
      <c r="BD21" s="81"/>
      <c r="BE21" s="81"/>
      <c r="BF21" s="81"/>
      <c r="BG21" s="81"/>
      <c r="BH21" s="83"/>
      <c r="BI21" s="91"/>
      <c r="BJ21" s="81"/>
      <c r="BK21" s="81"/>
      <c r="BL21" s="81"/>
      <c r="BM21" s="81"/>
      <c r="BN21" s="81"/>
      <c r="BO21" s="81"/>
      <c r="BP21" s="81"/>
      <c r="BQ21" s="81"/>
      <c r="BR21" s="83"/>
    </row>
    <row r="22" spans="1:72" s="73" customFormat="1" ht="9" customHeight="1" x14ac:dyDescent="0.25">
      <c r="A22" s="90"/>
      <c r="B22" s="81"/>
      <c r="C22" s="81"/>
      <c r="D22" s="81"/>
      <c r="E22" s="81"/>
      <c r="F22" s="81"/>
      <c r="G22" s="81"/>
      <c r="H22" s="81"/>
      <c r="I22" s="81"/>
      <c r="J22" s="83"/>
      <c r="K22" s="91"/>
      <c r="L22" s="81"/>
      <c r="M22" s="81"/>
      <c r="N22" s="81"/>
      <c r="O22" s="81"/>
      <c r="P22" s="81"/>
      <c r="Q22" s="81"/>
      <c r="R22" s="81"/>
      <c r="S22" s="81"/>
      <c r="T22" s="83"/>
      <c r="U22" s="91"/>
      <c r="V22" s="81"/>
      <c r="W22" s="81"/>
      <c r="X22" s="81"/>
      <c r="Y22" s="81"/>
      <c r="Z22" s="81"/>
      <c r="AA22" s="81"/>
      <c r="AB22" s="81"/>
      <c r="AC22" s="81"/>
      <c r="AD22" s="83"/>
      <c r="AE22" s="91"/>
      <c r="AF22" s="81"/>
      <c r="AG22" s="81"/>
      <c r="AH22" s="81"/>
      <c r="AI22" s="81"/>
      <c r="AJ22" s="81"/>
      <c r="AK22" s="81"/>
      <c r="AL22" s="81"/>
      <c r="AM22" s="81"/>
      <c r="AN22" s="83"/>
      <c r="AO22" s="91"/>
      <c r="AP22" s="81"/>
      <c r="AQ22" s="81"/>
      <c r="AR22" s="81"/>
      <c r="AS22" s="81"/>
      <c r="AT22" s="81"/>
      <c r="AU22" s="81"/>
      <c r="AV22" s="81"/>
      <c r="AW22" s="81"/>
      <c r="AX22" s="83"/>
      <c r="AY22" s="81"/>
      <c r="AZ22" s="81"/>
      <c r="BA22" s="81"/>
      <c r="BB22" s="81"/>
      <c r="BC22" s="81"/>
      <c r="BD22" s="81"/>
      <c r="BE22" s="81"/>
      <c r="BF22" s="81"/>
      <c r="BG22" s="81"/>
      <c r="BH22" s="83"/>
      <c r="BI22" s="91"/>
      <c r="BJ22" s="81"/>
      <c r="BK22" s="81"/>
      <c r="BL22" s="81"/>
      <c r="BM22" s="81"/>
      <c r="BN22" s="81"/>
      <c r="BO22" s="81"/>
      <c r="BP22" s="81"/>
      <c r="BQ22" s="81"/>
      <c r="BR22" s="83"/>
    </row>
    <row r="23" spans="1:72" s="73" customFormat="1" ht="9.75" customHeight="1" x14ac:dyDescent="0.25">
      <c r="A23" s="90"/>
      <c r="B23" s="81"/>
      <c r="C23" s="81"/>
      <c r="D23" s="81"/>
      <c r="E23" s="81"/>
      <c r="F23" s="81"/>
      <c r="G23" s="81"/>
      <c r="H23" s="81"/>
      <c r="I23" s="81"/>
      <c r="J23" s="83"/>
      <c r="K23" s="91"/>
      <c r="L23" s="81"/>
      <c r="M23" s="81"/>
      <c r="N23" s="81"/>
      <c r="O23" s="81"/>
      <c r="P23" s="81"/>
      <c r="Q23" s="81"/>
      <c r="R23" s="81"/>
      <c r="S23" s="81"/>
      <c r="T23" s="83"/>
      <c r="U23" s="91"/>
      <c r="V23" s="81"/>
      <c r="W23" s="81"/>
      <c r="X23" s="81"/>
      <c r="Y23" s="81"/>
      <c r="Z23" s="81"/>
      <c r="AA23" s="81"/>
      <c r="AB23" s="81"/>
      <c r="AC23" s="81"/>
      <c r="AD23" s="83"/>
      <c r="AE23" s="91"/>
      <c r="AF23" s="81"/>
      <c r="AG23" s="81"/>
      <c r="AH23" s="81"/>
      <c r="AI23" s="81"/>
      <c r="AJ23" s="81"/>
      <c r="AK23" s="81"/>
      <c r="AL23" s="81"/>
      <c r="AM23" s="81"/>
      <c r="AN23" s="83"/>
      <c r="AO23" s="91"/>
      <c r="AP23" s="81"/>
      <c r="AQ23" s="81"/>
      <c r="AR23" s="81"/>
      <c r="AS23" s="81"/>
      <c r="AT23" s="81"/>
      <c r="AU23" s="81"/>
      <c r="AV23" s="81"/>
      <c r="AW23" s="81"/>
      <c r="AX23" s="83"/>
      <c r="AY23" s="81"/>
      <c r="AZ23" s="81"/>
      <c r="BA23" s="81"/>
      <c r="BB23" s="81"/>
      <c r="BC23" s="81"/>
      <c r="BD23" s="81"/>
      <c r="BE23" s="81"/>
      <c r="BF23" s="81"/>
      <c r="BG23" s="81"/>
      <c r="BH23" s="83"/>
      <c r="BI23" s="91"/>
      <c r="BJ23" s="81"/>
      <c r="BK23" s="81"/>
      <c r="BL23" s="81"/>
      <c r="BM23" s="81"/>
      <c r="BN23" s="81"/>
      <c r="BO23" s="81"/>
      <c r="BP23" s="81"/>
      <c r="BQ23" s="81"/>
      <c r="BR23" s="83"/>
    </row>
    <row r="24" spans="1:72" s="99" customFormat="1" ht="9" customHeight="1" x14ac:dyDescent="0.25">
      <c r="A24" s="96"/>
      <c r="B24" s="81"/>
      <c r="C24" s="81"/>
      <c r="D24" s="81"/>
      <c r="E24" s="81"/>
      <c r="F24" s="81"/>
      <c r="G24" s="81"/>
      <c r="H24" s="81"/>
      <c r="I24" s="81"/>
      <c r="J24" s="83"/>
      <c r="K24" s="97"/>
      <c r="L24" s="81"/>
      <c r="M24" s="81"/>
      <c r="N24" s="81"/>
      <c r="O24" s="81"/>
      <c r="P24" s="81"/>
      <c r="Q24" s="81"/>
      <c r="R24" s="81"/>
      <c r="S24" s="81"/>
      <c r="T24" s="83"/>
      <c r="U24" s="97"/>
      <c r="V24" s="81"/>
      <c r="W24" s="81"/>
      <c r="X24" s="81"/>
      <c r="Y24" s="81"/>
      <c r="Z24" s="81"/>
      <c r="AA24" s="81"/>
      <c r="AB24" s="81"/>
      <c r="AC24" s="81"/>
      <c r="AD24" s="83"/>
      <c r="AE24" s="97"/>
      <c r="AF24" s="81"/>
      <c r="AG24" s="81"/>
      <c r="AH24" s="81"/>
      <c r="AI24" s="81"/>
      <c r="AJ24" s="81"/>
      <c r="AK24" s="81"/>
      <c r="AL24" s="81"/>
      <c r="AM24" s="81"/>
      <c r="AN24" s="83"/>
      <c r="AO24" s="97"/>
      <c r="AP24" s="81"/>
      <c r="AQ24" s="81"/>
      <c r="AR24" s="81"/>
      <c r="AS24" s="81"/>
      <c r="AT24" s="81"/>
      <c r="AU24" s="81"/>
      <c r="AV24" s="81"/>
      <c r="AW24" s="81"/>
      <c r="AX24" s="83"/>
      <c r="AY24" s="98"/>
      <c r="AZ24" s="81"/>
      <c r="BA24" s="81"/>
      <c r="BB24" s="81"/>
      <c r="BC24" s="81"/>
      <c r="BD24" s="81"/>
      <c r="BE24" s="81"/>
      <c r="BF24" s="81"/>
      <c r="BG24" s="81"/>
      <c r="BH24" s="83"/>
      <c r="BI24" s="91"/>
      <c r="BJ24" s="81"/>
      <c r="BK24" s="81"/>
      <c r="BL24" s="81"/>
      <c r="BM24" s="81"/>
      <c r="BN24" s="81"/>
      <c r="BO24" s="81"/>
      <c r="BP24" s="81"/>
      <c r="BQ24" s="81"/>
      <c r="BR24" s="83"/>
      <c r="BT24" s="73"/>
    </row>
    <row r="25" spans="1:72" s="99" customFormat="1" ht="9" customHeight="1" x14ac:dyDescent="0.25">
      <c r="A25" s="96"/>
      <c r="B25" s="81"/>
      <c r="C25" s="81"/>
      <c r="D25" s="81"/>
      <c r="E25" s="81"/>
      <c r="F25" s="81"/>
      <c r="G25" s="81"/>
      <c r="H25" s="81"/>
      <c r="I25" s="81"/>
      <c r="J25" s="83"/>
      <c r="K25" s="97"/>
      <c r="L25" s="81"/>
      <c r="M25" s="81"/>
      <c r="N25" s="81"/>
      <c r="O25" s="81"/>
      <c r="P25" s="81"/>
      <c r="Q25" s="81"/>
      <c r="R25" s="81"/>
      <c r="S25" s="81"/>
      <c r="T25" s="83"/>
      <c r="U25" s="97"/>
      <c r="V25" s="81"/>
      <c r="W25" s="81"/>
      <c r="X25" s="81"/>
      <c r="Y25" s="81"/>
      <c r="Z25" s="81"/>
      <c r="AA25" s="81"/>
      <c r="AB25" s="81"/>
      <c r="AC25" s="81"/>
      <c r="AD25" s="83"/>
      <c r="AE25" s="97"/>
      <c r="AF25" s="81"/>
      <c r="AG25" s="81"/>
      <c r="AH25" s="81"/>
      <c r="AI25" s="81"/>
      <c r="AJ25" s="81"/>
      <c r="AK25" s="81"/>
      <c r="AL25" s="81"/>
      <c r="AM25" s="81"/>
      <c r="AN25" s="83"/>
      <c r="AO25" s="97"/>
      <c r="AP25" s="81"/>
      <c r="AQ25" s="81"/>
      <c r="AR25" s="81"/>
      <c r="AS25" s="81"/>
      <c r="AT25" s="81"/>
      <c r="AU25" s="81"/>
      <c r="AV25" s="81"/>
      <c r="AW25" s="81"/>
      <c r="AX25" s="83"/>
      <c r="AY25" s="98"/>
      <c r="AZ25" s="81"/>
      <c r="BA25" s="81"/>
      <c r="BB25" s="81"/>
      <c r="BC25" s="81"/>
      <c r="BD25" s="81"/>
      <c r="BE25" s="81"/>
      <c r="BF25" s="81"/>
      <c r="BG25" s="81"/>
      <c r="BH25" s="83"/>
      <c r="BI25" s="91"/>
      <c r="BJ25" s="81"/>
      <c r="BK25" s="81"/>
      <c r="BL25" s="81"/>
      <c r="BM25" s="81"/>
      <c r="BN25" s="81"/>
      <c r="BO25" s="81"/>
      <c r="BP25" s="81"/>
      <c r="BQ25" s="81"/>
      <c r="BR25" s="83"/>
      <c r="BT25" s="73"/>
    </row>
    <row r="26" spans="1:72" s="99" customFormat="1" ht="9" customHeight="1" x14ac:dyDescent="0.25">
      <c r="A26" s="96"/>
      <c r="B26" s="86"/>
      <c r="C26" s="86"/>
      <c r="D26" s="86"/>
      <c r="E26" s="86"/>
      <c r="F26" s="86"/>
      <c r="G26" s="86"/>
      <c r="H26" s="86"/>
      <c r="I26" s="86"/>
      <c r="J26" s="87"/>
      <c r="K26" s="97"/>
      <c r="L26" s="86"/>
      <c r="M26" s="86"/>
      <c r="N26" s="86"/>
      <c r="O26" s="86"/>
      <c r="P26" s="86"/>
      <c r="Q26" s="86"/>
      <c r="R26" s="86"/>
      <c r="S26" s="86"/>
      <c r="T26" s="87"/>
      <c r="U26" s="97"/>
      <c r="V26" s="86"/>
      <c r="W26" s="86"/>
      <c r="X26" s="86"/>
      <c r="Y26" s="86"/>
      <c r="Z26" s="86"/>
      <c r="AA26" s="86"/>
      <c r="AB26" s="86"/>
      <c r="AC26" s="86"/>
      <c r="AD26" s="87"/>
      <c r="AE26" s="97"/>
      <c r="AF26" s="86"/>
      <c r="AG26" s="86"/>
      <c r="AH26" s="86"/>
      <c r="AI26" s="86"/>
      <c r="AJ26" s="86"/>
      <c r="AK26" s="86"/>
      <c r="AL26" s="86"/>
      <c r="AM26" s="86"/>
      <c r="AN26" s="87"/>
      <c r="AO26" s="97"/>
      <c r="AP26" s="86"/>
      <c r="AQ26" s="86"/>
      <c r="AR26" s="86"/>
      <c r="AS26" s="86"/>
      <c r="AT26" s="86"/>
      <c r="AU26" s="86"/>
      <c r="AV26" s="86"/>
      <c r="AW26" s="86"/>
      <c r="AX26" s="87"/>
      <c r="AY26" s="98"/>
      <c r="AZ26" s="86"/>
      <c r="BA26" s="86"/>
      <c r="BB26" s="86"/>
      <c r="BC26" s="86"/>
      <c r="BD26" s="86"/>
      <c r="BE26" s="86"/>
      <c r="BF26" s="86"/>
      <c r="BG26" s="86"/>
      <c r="BH26" s="87"/>
      <c r="BI26" s="91"/>
      <c r="BJ26" s="86"/>
      <c r="BK26" s="86"/>
      <c r="BL26" s="86"/>
      <c r="BM26" s="86"/>
      <c r="BN26" s="86"/>
      <c r="BO26" s="86"/>
      <c r="BP26" s="86"/>
      <c r="BQ26" s="86"/>
      <c r="BR26" s="87"/>
      <c r="BT26" s="73"/>
    </row>
    <row r="27" spans="1:72" s="99" customFormat="1" ht="9" customHeight="1" x14ac:dyDescent="0.25">
      <c r="B27" s="85"/>
      <c r="C27" s="86"/>
      <c r="D27" s="86"/>
      <c r="E27" s="86"/>
      <c r="F27" s="86"/>
      <c r="G27" s="86"/>
      <c r="H27" s="86"/>
      <c r="I27" s="86"/>
      <c r="J27" s="87"/>
      <c r="K27" s="97"/>
      <c r="L27" s="86"/>
      <c r="M27" s="86"/>
      <c r="N27" s="86"/>
      <c r="O27" s="86"/>
      <c r="P27" s="86"/>
      <c r="Q27" s="86"/>
      <c r="R27" s="86"/>
      <c r="S27" s="86"/>
      <c r="T27" s="87"/>
      <c r="U27" s="97"/>
      <c r="V27" s="86"/>
      <c r="W27" s="86"/>
      <c r="X27" s="86"/>
      <c r="Y27" s="86"/>
      <c r="Z27" s="86"/>
      <c r="AA27" s="86"/>
      <c r="AB27" s="86"/>
      <c r="AC27" s="86"/>
      <c r="AD27" s="87"/>
      <c r="AE27" s="97"/>
      <c r="AF27" s="86"/>
      <c r="AG27" s="86"/>
      <c r="AH27" s="86"/>
      <c r="AI27" s="86"/>
      <c r="AJ27" s="86"/>
      <c r="AK27" s="86"/>
      <c r="AL27" s="86"/>
      <c r="AM27" s="86"/>
      <c r="AN27" s="87"/>
      <c r="AO27" s="97"/>
      <c r="AP27" s="86"/>
      <c r="AQ27" s="86"/>
      <c r="AR27" s="86"/>
      <c r="AS27" s="86"/>
      <c r="AT27" s="86"/>
      <c r="AU27" s="86"/>
      <c r="AV27" s="86"/>
      <c r="AW27" s="86"/>
      <c r="AX27" s="87"/>
      <c r="AY27" s="98"/>
      <c r="AZ27" s="86"/>
      <c r="BA27" s="86"/>
      <c r="BB27" s="86"/>
      <c r="BC27" s="86"/>
      <c r="BD27" s="86"/>
      <c r="BE27" s="86"/>
      <c r="BF27" s="86"/>
      <c r="BG27" s="86"/>
      <c r="BH27" s="87"/>
      <c r="BI27" s="91"/>
      <c r="BJ27" s="86"/>
      <c r="BK27" s="86"/>
      <c r="BL27" s="86"/>
      <c r="BM27" s="86"/>
      <c r="BN27" s="86"/>
      <c r="BO27" s="86"/>
      <c r="BP27" s="86"/>
      <c r="BQ27" s="86"/>
      <c r="BR27" s="87"/>
      <c r="BT27" s="73"/>
    </row>
    <row r="28" spans="1:72" s="99" customFormat="1" ht="9" customHeight="1" x14ac:dyDescent="0.25">
      <c r="B28" s="82"/>
      <c r="C28" s="81"/>
      <c r="D28" s="81"/>
      <c r="E28" s="81"/>
      <c r="F28" s="81"/>
      <c r="G28" s="81"/>
      <c r="H28" s="81"/>
      <c r="I28" s="81"/>
      <c r="J28" s="83"/>
      <c r="K28" s="97"/>
      <c r="L28" s="81"/>
      <c r="M28" s="81"/>
      <c r="N28" s="81"/>
      <c r="O28" s="81"/>
      <c r="P28" s="81"/>
      <c r="Q28" s="81"/>
      <c r="R28" s="81"/>
      <c r="S28" s="81"/>
      <c r="T28" s="83"/>
      <c r="U28" s="97"/>
      <c r="V28" s="81"/>
      <c r="W28" s="81"/>
      <c r="X28" s="81"/>
      <c r="Y28" s="81"/>
      <c r="Z28" s="81"/>
      <c r="AA28" s="81"/>
      <c r="AB28" s="81"/>
      <c r="AC28" s="81"/>
      <c r="AD28" s="83"/>
      <c r="AE28" s="97"/>
      <c r="AF28" s="81"/>
      <c r="AG28" s="81"/>
      <c r="AH28" s="81"/>
      <c r="AI28" s="81"/>
      <c r="AJ28" s="81"/>
      <c r="AK28" s="81"/>
      <c r="AL28" s="81"/>
      <c r="AM28" s="81"/>
      <c r="AN28" s="83"/>
      <c r="AO28" s="97"/>
      <c r="AP28" s="81"/>
      <c r="AQ28" s="81"/>
      <c r="AR28" s="81"/>
      <c r="AS28" s="81"/>
      <c r="AT28" s="81"/>
      <c r="AU28" s="81"/>
      <c r="AV28" s="81"/>
      <c r="AW28" s="81"/>
      <c r="AX28" s="83"/>
      <c r="AY28" s="98"/>
      <c r="AZ28" s="81"/>
      <c r="BA28" s="81"/>
      <c r="BB28" s="81"/>
      <c r="BC28" s="81"/>
      <c r="BD28" s="81"/>
      <c r="BE28" s="81"/>
      <c r="BF28" s="81"/>
      <c r="BG28" s="81"/>
      <c r="BH28" s="83"/>
      <c r="BI28" s="91"/>
      <c r="BJ28" s="81"/>
      <c r="BK28" s="81"/>
      <c r="BL28" s="81"/>
      <c r="BM28" s="81"/>
      <c r="BN28" s="81"/>
      <c r="BO28" s="81"/>
      <c r="BP28" s="81"/>
      <c r="BQ28" s="81"/>
      <c r="BR28" s="83"/>
      <c r="BT28" s="73"/>
    </row>
    <row r="29" spans="1:72" s="99" customFormat="1" ht="9" customHeight="1" x14ac:dyDescent="0.25">
      <c r="B29" s="454" t="s">
        <v>298</v>
      </c>
      <c r="C29" s="454"/>
      <c r="D29" s="454"/>
      <c r="E29" s="454"/>
      <c r="F29" s="454"/>
      <c r="G29" s="453">
        <f>CEILING(2440*B3,1)</f>
        <v>4636</v>
      </c>
      <c r="H29" s="453"/>
      <c r="I29" s="453"/>
      <c r="J29" s="453"/>
      <c r="K29" s="74"/>
      <c r="L29" s="454" t="s">
        <v>298</v>
      </c>
      <c r="M29" s="454"/>
      <c r="N29" s="454"/>
      <c r="O29" s="454"/>
      <c r="P29" s="454"/>
      <c r="Q29" s="453">
        <f>CEILING(2849*B3,1)</f>
        <v>5414</v>
      </c>
      <c r="R29" s="453"/>
      <c r="S29" s="453"/>
      <c r="T29" s="453"/>
      <c r="U29" s="74"/>
      <c r="V29" s="454" t="s">
        <v>298</v>
      </c>
      <c r="W29" s="454"/>
      <c r="X29" s="454"/>
      <c r="Y29" s="454"/>
      <c r="Z29" s="454"/>
      <c r="AA29" s="453">
        <f>CEILING(3497*B3,1)</f>
        <v>6645</v>
      </c>
      <c r="AB29" s="453"/>
      <c r="AC29" s="453"/>
      <c r="AD29" s="453"/>
      <c r="AE29" s="74"/>
      <c r="AF29" s="454" t="s">
        <v>298</v>
      </c>
      <c r="AG29" s="454"/>
      <c r="AH29" s="454"/>
      <c r="AI29" s="454"/>
      <c r="AJ29" s="454"/>
      <c r="AK29" s="453">
        <f>CEILING(4203*B3,1)</f>
        <v>7986</v>
      </c>
      <c r="AL29" s="453"/>
      <c r="AM29" s="453"/>
      <c r="AN29" s="453"/>
      <c r="AO29" s="74"/>
      <c r="AP29" s="454" t="s">
        <v>298</v>
      </c>
      <c r="AQ29" s="454"/>
      <c r="AR29" s="454"/>
      <c r="AS29" s="454"/>
      <c r="AT29" s="454"/>
      <c r="AU29" s="453">
        <f>CEILING(3740*B3,1)</f>
        <v>7106</v>
      </c>
      <c r="AV29" s="453"/>
      <c r="AW29" s="453"/>
      <c r="AX29" s="453"/>
      <c r="AY29" s="74"/>
      <c r="AZ29" s="454" t="s">
        <v>298</v>
      </c>
      <c r="BA29" s="454"/>
      <c r="BB29" s="454"/>
      <c r="BC29" s="454"/>
      <c r="BD29" s="454"/>
      <c r="BE29" s="453">
        <f>CEILING(3577*B3,1)</f>
        <v>6797</v>
      </c>
      <c r="BF29" s="453"/>
      <c r="BG29" s="453"/>
      <c r="BH29" s="453"/>
      <c r="BI29" s="74"/>
      <c r="BJ29" s="454" t="s">
        <v>298</v>
      </c>
      <c r="BK29" s="454"/>
      <c r="BL29" s="454"/>
      <c r="BM29" s="454"/>
      <c r="BN29" s="454"/>
      <c r="BO29" s="453">
        <f>CEILING(4066*B3,1)</f>
        <v>7726</v>
      </c>
      <c r="BP29" s="453"/>
      <c r="BQ29" s="453"/>
      <c r="BR29" s="453"/>
    </row>
    <row r="30" spans="1:72" s="73" customFormat="1" ht="1.5" customHeight="1" x14ac:dyDescent="0.25">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100"/>
    </row>
    <row r="31" spans="1:72" s="99" customFormat="1" ht="9" customHeight="1" x14ac:dyDescent="0.25">
      <c r="B31" s="464" t="s">
        <v>299</v>
      </c>
      <c r="C31" s="465"/>
      <c r="D31" s="466"/>
      <c r="E31" s="467" t="s">
        <v>300</v>
      </c>
      <c r="F31" s="462"/>
      <c r="G31" s="462"/>
      <c r="H31" s="462"/>
      <c r="I31" s="462"/>
      <c r="J31" s="463"/>
      <c r="K31" s="98"/>
      <c r="L31" s="464" t="s">
        <v>301</v>
      </c>
      <c r="M31" s="465"/>
      <c r="N31" s="466"/>
      <c r="O31" s="467" t="s">
        <v>300</v>
      </c>
      <c r="P31" s="462"/>
      <c r="Q31" s="462"/>
      <c r="R31" s="462"/>
      <c r="S31" s="462"/>
      <c r="T31" s="463"/>
      <c r="U31" s="98"/>
      <c r="V31" s="464" t="s">
        <v>302</v>
      </c>
      <c r="W31" s="465"/>
      <c r="X31" s="466"/>
      <c r="Y31" s="467" t="s">
        <v>300</v>
      </c>
      <c r="Z31" s="462"/>
      <c r="AA31" s="462"/>
      <c r="AB31" s="462"/>
      <c r="AC31" s="462"/>
      <c r="AD31" s="463"/>
      <c r="AE31" s="98"/>
      <c r="AF31" s="464" t="s">
        <v>303</v>
      </c>
      <c r="AG31" s="465"/>
      <c r="AH31" s="466"/>
      <c r="AI31" s="467" t="s">
        <v>300</v>
      </c>
      <c r="AJ31" s="462"/>
      <c r="AK31" s="462"/>
      <c r="AL31" s="462"/>
      <c r="AM31" s="462"/>
      <c r="AN31" s="463"/>
      <c r="AO31" s="98"/>
      <c r="AP31" s="464" t="s">
        <v>304</v>
      </c>
      <c r="AQ31" s="465"/>
      <c r="AR31" s="466"/>
      <c r="AS31" s="467" t="s">
        <v>300</v>
      </c>
      <c r="AT31" s="462"/>
      <c r="AU31" s="462"/>
      <c r="AV31" s="462"/>
      <c r="AW31" s="462"/>
      <c r="AX31" s="463"/>
      <c r="AY31" s="101"/>
      <c r="AZ31" s="464" t="s">
        <v>305</v>
      </c>
      <c r="BA31" s="465"/>
      <c r="BB31" s="466"/>
      <c r="BC31" s="467" t="s">
        <v>300</v>
      </c>
      <c r="BD31" s="462"/>
      <c r="BE31" s="462"/>
      <c r="BF31" s="462"/>
      <c r="BG31" s="462"/>
      <c r="BH31" s="463"/>
      <c r="BI31" s="98"/>
      <c r="BJ31" s="464" t="s">
        <v>306</v>
      </c>
      <c r="BK31" s="465"/>
      <c r="BL31" s="466"/>
      <c r="BM31" s="467" t="s">
        <v>300</v>
      </c>
      <c r="BN31" s="462"/>
      <c r="BO31" s="462"/>
      <c r="BP31" s="462"/>
      <c r="BQ31" s="462"/>
      <c r="BR31" s="463"/>
    </row>
    <row r="32" spans="1:72" s="84" customFormat="1" ht="9" customHeight="1" x14ac:dyDescent="0.25">
      <c r="B32" s="85"/>
      <c r="C32" s="86"/>
      <c r="D32" s="86"/>
      <c r="E32" s="86"/>
      <c r="F32" s="86"/>
      <c r="G32" s="86"/>
      <c r="H32" s="86"/>
      <c r="I32" s="86"/>
      <c r="J32" s="87"/>
      <c r="K32" s="88"/>
      <c r="L32" s="85"/>
      <c r="M32" s="86"/>
      <c r="N32" s="86"/>
      <c r="O32" s="86"/>
      <c r="P32" s="86"/>
      <c r="Q32" s="86"/>
      <c r="R32" s="86"/>
      <c r="S32" s="86"/>
      <c r="T32" s="87"/>
      <c r="U32" s="88"/>
      <c r="V32" s="85"/>
      <c r="W32" s="86"/>
      <c r="X32" s="86"/>
      <c r="Y32" s="86"/>
      <c r="Z32" s="86"/>
      <c r="AA32" s="86"/>
      <c r="AB32" s="86"/>
      <c r="AC32" s="86"/>
      <c r="AD32" s="87"/>
      <c r="AE32" s="88"/>
      <c r="AF32" s="85"/>
      <c r="AG32" s="86"/>
      <c r="AH32" s="86"/>
      <c r="AI32" s="86"/>
      <c r="AJ32" s="86"/>
      <c r="AK32" s="86"/>
      <c r="AL32" s="86"/>
      <c r="AM32" s="86"/>
      <c r="AN32" s="87"/>
      <c r="AO32" s="88"/>
      <c r="AP32" s="85"/>
      <c r="AQ32" s="86"/>
      <c r="AR32" s="86"/>
      <c r="AS32" s="86"/>
      <c r="AT32" s="86"/>
      <c r="AU32" s="86"/>
      <c r="AV32" s="86"/>
      <c r="AW32" s="86"/>
      <c r="AX32" s="87"/>
      <c r="AY32" s="89"/>
      <c r="AZ32" s="85"/>
      <c r="BA32" s="86"/>
      <c r="BB32" s="86"/>
      <c r="BC32" s="86"/>
      <c r="BD32" s="86"/>
      <c r="BE32" s="86"/>
      <c r="BF32" s="86"/>
      <c r="BG32" s="86"/>
      <c r="BH32" s="87"/>
      <c r="BI32" s="88"/>
      <c r="BJ32" s="85"/>
      <c r="BK32" s="86"/>
      <c r="BL32" s="86"/>
      <c r="BM32" s="86"/>
      <c r="BN32" s="86"/>
      <c r="BO32" s="86"/>
      <c r="BP32" s="86"/>
      <c r="BQ32" s="86"/>
      <c r="BR32" s="87"/>
    </row>
    <row r="33" spans="2:72" s="73" customFormat="1" ht="9" customHeight="1" x14ac:dyDescent="0.25">
      <c r="B33" s="82"/>
      <c r="C33" s="81"/>
      <c r="D33" s="81"/>
      <c r="E33" s="81"/>
      <c r="F33" s="81"/>
      <c r="G33" s="81"/>
      <c r="H33" s="81"/>
      <c r="I33" s="81"/>
      <c r="J33" s="83"/>
      <c r="K33" s="81"/>
      <c r="L33" s="82"/>
      <c r="M33" s="81"/>
      <c r="N33" s="81"/>
      <c r="O33" s="81"/>
      <c r="P33" s="81"/>
      <c r="Q33" s="81"/>
      <c r="R33" s="81"/>
      <c r="S33" s="81"/>
      <c r="T33" s="83"/>
      <c r="U33" s="81"/>
      <c r="V33" s="94"/>
      <c r="W33" s="88"/>
      <c r="X33" s="88"/>
      <c r="Y33" s="88"/>
      <c r="Z33" s="88"/>
      <c r="AA33" s="88"/>
      <c r="AB33" s="88"/>
      <c r="AC33" s="88"/>
      <c r="AD33" s="89"/>
      <c r="AE33" s="81"/>
      <c r="AF33" s="94"/>
      <c r="AG33" s="88"/>
      <c r="AH33" s="88"/>
      <c r="AI33" s="88"/>
      <c r="AJ33" s="88"/>
      <c r="AK33" s="88"/>
      <c r="AL33" s="88"/>
      <c r="AM33" s="88"/>
      <c r="AN33" s="89"/>
      <c r="AO33" s="83"/>
      <c r="AP33" s="94"/>
      <c r="AQ33" s="88"/>
      <c r="AR33" s="88"/>
      <c r="AS33" s="88"/>
      <c r="AT33" s="88"/>
      <c r="AU33" s="88"/>
      <c r="AV33" s="88"/>
      <c r="AW33" s="88"/>
      <c r="AX33" s="89"/>
      <c r="AY33" s="83"/>
      <c r="AZ33" s="94"/>
      <c r="BA33" s="88"/>
      <c r="BB33" s="88"/>
      <c r="BC33" s="88"/>
      <c r="BD33" s="88"/>
      <c r="BE33" s="88"/>
      <c r="BF33" s="88"/>
      <c r="BG33" s="88"/>
      <c r="BH33" s="89"/>
      <c r="BI33" s="81"/>
      <c r="BJ33" s="94"/>
      <c r="BK33" s="88"/>
      <c r="BL33" s="88"/>
      <c r="BM33" s="88"/>
      <c r="BN33" s="88"/>
      <c r="BO33" s="88"/>
      <c r="BP33" s="88"/>
      <c r="BQ33" s="88"/>
      <c r="BR33" s="89"/>
    </row>
    <row r="34" spans="2:72" s="73" customFormat="1" ht="9" customHeight="1" x14ac:dyDescent="0.25">
      <c r="B34" s="82"/>
      <c r="C34" s="81"/>
      <c r="D34" s="81"/>
      <c r="E34" s="81"/>
      <c r="F34" s="81"/>
      <c r="G34" s="81"/>
      <c r="H34" s="81"/>
      <c r="I34" s="81"/>
      <c r="J34" s="83"/>
      <c r="K34" s="81"/>
      <c r="L34" s="82"/>
      <c r="M34" s="81"/>
      <c r="N34" s="81"/>
      <c r="O34" s="81"/>
      <c r="P34" s="81"/>
      <c r="Q34" s="81"/>
      <c r="R34" s="81"/>
      <c r="S34" s="81"/>
      <c r="T34" s="83"/>
      <c r="U34" s="81"/>
      <c r="V34" s="94"/>
      <c r="W34" s="88"/>
      <c r="X34" s="88"/>
      <c r="Y34" s="88"/>
      <c r="Z34" s="88"/>
      <c r="AA34" s="88"/>
      <c r="AB34" s="88"/>
      <c r="AC34" s="88"/>
      <c r="AD34" s="89"/>
      <c r="AE34" s="81"/>
      <c r="AF34" s="94"/>
      <c r="AG34" s="88"/>
      <c r="AH34" s="88"/>
      <c r="AI34" s="88"/>
      <c r="AJ34" s="88"/>
      <c r="AK34" s="88"/>
      <c r="AL34" s="88"/>
      <c r="AM34" s="88"/>
      <c r="AN34" s="89"/>
      <c r="AO34" s="83"/>
      <c r="AP34" s="94"/>
      <c r="AQ34" s="88"/>
      <c r="AR34" s="88"/>
      <c r="AS34" s="88"/>
      <c r="AT34" s="88"/>
      <c r="AU34" s="88"/>
      <c r="AV34" s="88"/>
      <c r="AW34" s="88"/>
      <c r="AX34" s="89"/>
      <c r="AY34" s="83"/>
      <c r="AZ34" s="94"/>
      <c r="BA34" s="88"/>
      <c r="BB34" s="88"/>
      <c r="BC34" s="88"/>
      <c r="BD34" s="88"/>
      <c r="BE34" s="88"/>
      <c r="BF34" s="88"/>
      <c r="BG34" s="88"/>
      <c r="BH34" s="89"/>
      <c r="BI34" s="81"/>
      <c r="BJ34" s="94"/>
      <c r="BK34" s="88"/>
      <c r="BL34" s="88"/>
      <c r="BM34" s="88"/>
      <c r="BN34" s="88"/>
      <c r="BO34" s="88"/>
      <c r="BP34" s="88"/>
      <c r="BQ34" s="88"/>
      <c r="BR34" s="89"/>
    </row>
    <row r="35" spans="2:72" s="73" customFormat="1" ht="9.75" customHeight="1" x14ac:dyDescent="0.25">
      <c r="B35" s="82"/>
      <c r="C35" s="81"/>
      <c r="D35" s="81"/>
      <c r="E35" s="81"/>
      <c r="F35" s="81"/>
      <c r="G35" s="81"/>
      <c r="H35" s="81"/>
      <c r="I35" s="81"/>
      <c r="J35" s="83"/>
      <c r="K35" s="81"/>
      <c r="L35" s="82"/>
      <c r="M35" s="81"/>
      <c r="N35" s="81"/>
      <c r="O35" s="81"/>
      <c r="P35" s="81"/>
      <c r="Q35" s="81"/>
      <c r="R35" s="81"/>
      <c r="S35" s="81"/>
      <c r="T35" s="83"/>
      <c r="U35" s="81"/>
      <c r="V35" s="82"/>
      <c r="W35" s="81"/>
      <c r="X35" s="81"/>
      <c r="Y35" s="81"/>
      <c r="Z35" s="81"/>
      <c r="AA35" s="81"/>
      <c r="AB35" s="81"/>
      <c r="AC35" s="81"/>
      <c r="AD35" s="83"/>
      <c r="AE35" s="81"/>
      <c r="AF35" s="82"/>
      <c r="AG35" s="81"/>
      <c r="AH35" s="81"/>
      <c r="AI35" s="81"/>
      <c r="AJ35" s="81"/>
      <c r="AK35" s="81"/>
      <c r="AL35" s="81"/>
      <c r="AM35" s="81"/>
      <c r="AN35" s="83"/>
      <c r="AO35" s="83"/>
      <c r="AP35" s="82"/>
      <c r="AQ35" s="81"/>
      <c r="AR35" s="81"/>
      <c r="AS35" s="81"/>
      <c r="AT35" s="81"/>
      <c r="AU35" s="81"/>
      <c r="AV35" s="81"/>
      <c r="AW35" s="81"/>
      <c r="AX35" s="83"/>
      <c r="AY35" s="83"/>
      <c r="AZ35" s="82"/>
      <c r="BA35" s="81"/>
      <c r="BB35" s="81"/>
      <c r="BC35" s="81"/>
      <c r="BD35" s="81"/>
      <c r="BE35" s="81"/>
      <c r="BF35" s="81"/>
      <c r="BG35" s="81"/>
      <c r="BH35" s="83"/>
      <c r="BI35" s="81"/>
      <c r="BJ35" s="82"/>
      <c r="BK35" s="81"/>
      <c r="BL35" s="81"/>
      <c r="BM35" s="81"/>
      <c r="BN35" s="81"/>
      <c r="BO35" s="81"/>
      <c r="BP35" s="81"/>
      <c r="BQ35" s="81"/>
      <c r="BR35" s="83"/>
    </row>
    <row r="36" spans="2:72" s="73" customFormat="1" ht="9.75" customHeight="1" x14ac:dyDescent="0.25">
      <c r="B36" s="82"/>
      <c r="C36" s="81"/>
      <c r="D36" s="81"/>
      <c r="E36" s="81"/>
      <c r="F36" s="81"/>
      <c r="G36" s="81"/>
      <c r="H36" s="81"/>
      <c r="I36" s="81"/>
      <c r="J36" s="83"/>
      <c r="K36" s="81"/>
      <c r="L36" s="82"/>
      <c r="M36" s="81"/>
      <c r="N36" s="81"/>
      <c r="O36" s="81"/>
      <c r="P36" s="81"/>
      <c r="Q36" s="81"/>
      <c r="R36" s="81"/>
      <c r="S36" s="81"/>
      <c r="T36" s="83"/>
      <c r="U36" s="81"/>
      <c r="V36" s="82"/>
      <c r="W36" s="81"/>
      <c r="X36" s="81"/>
      <c r="Y36" s="81"/>
      <c r="Z36" s="81"/>
      <c r="AA36" s="81"/>
      <c r="AB36" s="81"/>
      <c r="AC36" s="81"/>
      <c r="AD36" s="83"/>
      <c r="AE36" s="81"/>
      <c r="AF36" s="82"/>
      <c r="AG36" s="81"/>
      <c r="AH36" s="81"/>
      <c r="AI36" s="81"/>
      <c r="AJ36" s="81"/>
      <c r="AK36" s="81"/>
      <c r="AL36" s="81"/>
      <c r="AM36" s="81"/>
      <c r="AN36" s="83"/>
      <c r="AO36" s="83"/>
      <c r="AP36" s="82"/>
      <c r="AQ36" s="81"/>
      <c r="AR36" s="81"/>
      <c r="AS36" s="81"/>
      <c r="AT36" s="81"/>
      <c r="AU36" s="81"/>
      <c r="AV36" s="81"/>
      <c r="AW36" s="81"/>
      <c r="AX36" s="83"/>
      <c r="AY36" s="83"/>
      <c r="AZ36" s="82"/>
      <c r="BA36" s="81"/>
      <c r="BB36" s="81"/>
      <c r="BC36" s="81"/>
      <c r="BD36" s="81"/>
      <c r="BE36" s="81"/>
      <c r="BF36" s="81"/>
      <c r="BG36" s="81"/>
      <c r="BH36" s="83"/>
      <c r="BI36" s="81"/>
      <c r="BJ36" s="82"/>
      <c r="BK36" s="81"/>
      <c r="BL36" s="81"/>
      <c r="BM36" s="81"/>
      <c r="BN36" s="81"/>
      <c r="BO36" s="81"/>
      <c r="BP36" s="81"/>
      <c r="BQ36" s="81"/>
      <c r="BR36" s="83"/>
    </row>
    <row r="37" spans="2:72" s="73" customFormat="1" ht="9.75" customHeight="1" x14ac:dyDescent="0.25">
      <c r="B37" s="82"/>
      <c r="C37" s="81"/>
      <c r="D37" s="81"/>
      <c r="E37" s="81"/>
      <c r="F37" s="81"/>
      <c r="G37" s="81"/>
      <c r="H37" s="81"/>
      <c r="I37" s="81"/>
      <c r="J37" s="83"/>
      <c r="K37" s="81"/>
      <c r="L37" s="82"/>
      <c r="M37" s="81"/>
      <c r="N37" s="81"/>
      <c r="O37" s="81"/>
      <c r="P37" s="81"/>
      <c r="Q37" s="81"/>
      <c r="R37" s="81"/>
      <c r="S37" s="81"/>
      <c r="T37" s="83"/>
      <c r="U37" s="81"/>
      <c r="V37" s="82"/>
      <c r="W37" s="81"/>
      <c r="X37" s="81"/>
      <c r="Y37" s="81"/>
      <c r="Z37" s="81"/>
      <c r="AA37" s="81"/>
      <c r="AB37" s="81"/>
      <c r="AC37" s="81"/>
      <c r="AD37" s="83"/>
      <c r="AE37" s="81"/>
      <c r="AF37" s="82"/>
      <c r="AG37" s="81"/>
      <c r="AH37" s="81"/>
      <c r="AI37" s="81"/>
      <c r="AJ37" s="81"/>
      <c r="AK37" s="81"/>
      <c r="AL37" s="81"/>
      <c r="AM37" s="81"/>
      <c r="AN37" s="83"/>
      <c r="AO37" s="83"/>
      <c r="AP37" s="82"/>
      <c r="AQ37" s="81"/>
      <c r="AR37" s="81"/>
      <c r="AS37" s="81"/>
      <c r="AT37" s="81"/>
      <c r="AU37" s="81"/>
      <c r="AV37" s="81"/>
      <c r="AW37" s="81"/>
      <c r="AX37" s="83"/>
      <c r="AY37" s="83"/>
      <c r="AZ37" s="82"/>
      <c r="BA37" s="81"/>
      <c r="BB37" s="81"/>
      <c r="BC37" s="81"/>
      <c r="BD37" s="81"/>
      <c r="BE37" s="81"/>
      <c r="BF37" s="81"/>
      <c r="BG37" s="81"/>
      <c r="BH37" s="83"/>
      <c r="BI37" s="81"/>
      <c r="BJ37" s="82"/>
      <c r="BK37" s="81"/>
      <c r="BL37" s="81"/>
      <c r="BM37" s="81"/>
      <c r="BN37" s="81"/>
      <c r="BO37" s="81"/>
      <c r="BP37" s="81"/>
      <c r="BQ37" s="81"/>
      <c r="BR37" s="83"/>
    </row>
    <row r="38" spans="2:72" s="99" customFormat="1" ht="9" customHeight="1" x14ac:dyDescent="0.25">
      <c r="B38" s="102"/>
      <c r="C38" s="98"/>
      <c r="D38" s="98"/>
      <c r="E38" s="98"/>
      <c r="F38" s="98"/>
      <c r="G38" s="98"/>
      <c r="H38" s="98"/>
      <c r="I38" s="98"/>
      <c r="J38" s="101"/>
      <c r="K38" s="98"/>
      <c r="L38" s="102"/>
      <c r="M38" s="98"/>
      <c r="N38" s="98"/>
      <c r="O38" s="98"/>
      <c r="P38" s="98"/>
      <c r="Q38" s="98"/>
      <c r="R38" s="98"/>
      <c r="S38" s="98"/>
      <c r="T38" s="101"/>
      <c r="U38" s="91"/>
      <c r="V38" s="102"/>
      <c r="W38" s="98"/>
      <c r="X38" s="98"/>
      <c r="Y38" s="98"/>
      <c r="Z38" s="98"/>
      <c r="AA38" s="98"/>
      <c r="AB38" s="98"/>
      <c r="AC38" s="98"/>
      <c r="AD38" s="101"/>
      <c r="AE38" s="98"/>
      <c r="AF38" s="102"/>
      <c r="AG38" s="98"/>
      <c r="AH38" s="98"/>
      <c r="AI38" s="98"/>
      <c r="AJ38" s="98"/>
      <c r="AK38" s="98"/>
      <c r="AL38" s="98"/>
      <c r="AM38" s="98"/>
      <c r="AN38" s="101"/>
      <c r="AO38" s="101"/>
      <c r="AP38" s="102"/>
      <c r="AQ38" s="98"/>
      <c r="AR38" s="98"/>
      <c r="AS38" s="98"/>
      <c r="AT38" s="98"/>
      <c r="AU38" s="98"/>
      <c r="AV38" s="98"/>
      <c r="AW38" s="98"/>
      <c r="AX38" s="101"/>
      <c r="AY38" s="101"/>
      <c r="AZ38" s="102"/>
      <c r="BA38" s="98"/>
      <c r="BB38" s="98"/>
      <c r="BC38" s="98"/>
      <c r="BD38" s="98"/>
      <c r="BE38" s="98"/>
      <c r="BF38" s="98"/>
      <c r="BG38" s="98"/>
      <c r="BH38" s="101"/>
      <c r="BI38" s="98"/>
      <c r="BJ38" s="102"/>
      <c r="BK38" s="98"/>
      <c r="BL38" s="98"/>
      <c r="BM38" s="98"/>
      <c r="BN38" s="98"/>
      <c r="BO38" s="98"/>
      <c r="BP38" s="98"/>
      <c r="BQ38" s="98"/>
      <c r="BR38" s="101"/>
      <c r="BT38" s="73"/>
    </row>
    <row r="39" spans="2:72" s="99" customFormat="1" ht="9" customHeight="1" x14ac:dyDescent="0.25">
      <c r="B39" s="102"/>
      <c r="C39" s="98"/>
      <c r="D39" s="98"/>
      <c r="E39" s="98"/>
      <c r="F39" s="98"/>
      <c r="G39" s="98"/>
      <c r="H39" s="98"/>
      <c r="I39" s="98"/>
      <c r="J39" s="101"/>
      <c r="K39" s="98"/>
      <c r="L39" s="102"/>
      <c r="M39" s="98"/>
      <c r="N39" s="98"/>
      <c r="O39" s="98"/>
      <c r="P39" s="98"/>
      <c r="Q39" s="98"/>
      <c r="R39" s="98"/>
      <c r="S39" s="98"/>
      <c r="T39" s="101"/>
      <c r="U39" s="91"/>
      <c r="V39" s="102"/>
      <c r="W39" s="98"/>
      <c r="X39" s="98"/>
      <c r="Y39" s="98"/>
      <c r="Z39" s="98"/>
      <c r="AA39" s="98"/>
      <c r="AB39" s="98"/>
      <c r="AC39" s="98"/>
      <c r="AD39" s="101"/>
      <c r="AE39" s="98"/>
      <c r="AF39" s="102"/>
      <c r="AG39" s="98"/>
      <c r="AH39" s="98"/>
      <c r="AI39" s="98"/>
      <c r="AJ39" s="98"/>
      <c r="AK39" s="98"/>
      <c r="AL39" s="98"/>
      <c r="AM39" s="98"/>
      <c r="AN39" s="101"/>
      <c r="AO39" s="101"/>
      <c r="AP39" s="102"/>
      <c r="AQ39" s="98"/>
      <c r="AR39" s="98"/>
      <c r="AS39" s="98"/>
      <c r="AT39" s="98"/>
      <c r="AU39" s="98"/>
      <c r="AV39" s="98"/>
      <c r="AW39" s="98"/>
      <c r="AX39" s="101"/>
      <c r="AY39" s="101"/>
      <c r="AZ39" s="102"/>
      <c r="BA39" s="98"/>
      <c r="BB39" s="98"/>
      <c r="BC39" s="98"/>
      <c r="BD39" s="98"/>
      <c r="BE39" s="98"/>
      <c r="BF39" s="98"/>
      <c r="BG39" s="98"/>
      <c r="BH39" s="101"/>
      <c r="BI39" s="98"/>
      <c r="BJ39" s="102"/>
      <c r="BK39" s="98"/>
      <c r="BL39" s="98"/>
      <c r="BM39" s="98"/>
      <c r="BN39" s="98"/>
      <c r="BO39" s="98"/>
      <c r="BP39" s="98"/>
      <c r="BQ39" s="98"/>
      <c r="BR39" s="101"/>
      <c r="BT39" s="73"/>
    </row>
    <row r="40" spans="2:72" s="99" customFormat="1" ht="9" customHeight="1" x14ac:dyDescent="0.25">
      <c r="B40" s="102"/>
      <c r="C40" s="98"/>
      <c r="D40" s="98"/>
      <c r="E40" s="98"/>
      <c r="F40" s="98"/>
      <c r="G40" s="98"/>
      <c r="H40" s="98"/>
      <c r="I40" s="98"/>
      <c r="J40" s="101"/>
      <c r="K40" s="98"/>
      <c r="L40" s="102"/>
      <c r="M40" s="98"/>
      <c r="N40" s="98"/>
      <c r="O40" s="98"/>
      <c r="P40" s="98"/>
      <c r="Q40" s="98"/>
      <c r="R40" s="98"/>
      <c r="S40" s="98"/>
      <c r="T40" s="101"/>
      <c r="U40" s="91"/>
      <c r="V40" s="102"/>
      <c r="W40" s="98"/>
      <c r="X40" s="98"/>
      <c r="Y40" s="98"/>
      <c r="Z40" s="98"/>
      <c r="AA40" s="98"/>
      <c r="AB40" s="98"/>
      <c r="AC40" s="98"/>
      <c r="AD40" s="101"/>
      <c r="AE40" s="98"/>
      <c r="AF40" s="102"/>
      <c r="AG40" s="98"/>
      <c r="AH40" s="98"/>
      <c r="AI40" s="98"/>
      <c r="AJ40" s="98"/>
      <c r="AK40" s="98"/>
      <c r="AL40" s="98"/>
      <c r="AM40" s="98"/>
      <c r="AN40" s="101"/>
      <c r="AO40" s="101"/>
      <c r="AP40" s="102"/>
      <c r="AQ40" s="98"/>
      <c r="AR40" s="98"/>
      <c r="AS40" s="98"/>
      <c r="AT40" s="98"/>
      <c r="AU40" s="98"/>
      <c r="AV40" s="98"/>
      <c r="AW40" s="98"/>
      <c r="AX40" s="101"/>
      <c r="AY40" s="101"/>
      <c r="AZ40" s="102"/>
      <c r="BA40" s="98"/>
      <c r="BB40" s="98"/>
      <c r="BC40" s="98"/>
      <c r="BD40" s="98"/>
      <c r="BE40" s="98"/>
      <c r="BF40" s="98"/>
      <c r="BG40" s="98"/>
      <c r="BH40" s="101"/>
      <c r="BI40" s="98"/>
      <c r="BJ40" s="102"/>
      <c r="BK40" s="98"/>
      <c r="BL40" s="98"/>
      <c r="BM40" s="98"/>
      <c r="BN40" s="98"/>
      <c r="BO40" s="98"/>
      <c r="BP40" s="98"/>
      <c r="BQ40" s="98"/>
      <c r="BR40" s="101"/>
      <c r="BT40" s="73"/>
    </row>
    <row r="41" spans="2:72" s="99" customFormat="1" ht="9" customHeight="1" x14ac:dyDescent="0.25">
      <c r="B41" s="102"/>
      <c r="C41" s="98"/>
      <c r="D41" s="98"/>
      <c r="E41" s="98"/>
      <c r="F41" s="98"/>
      <c r="G41" s="98"/>
      <c r="H41" s="98"/>
      <c r="I41" s="98"/>
      <c r="J41" s="101"/>
      <c r="K41" s="98"/>
      <c r="L41" s="102"/>
      <c r="M41" s="98"/>
      <c r="N41" s="98"/>
      <c r="O41" s="98"/>
      <c r="P41" s="98"/>
      <c r="Q41" s="98"/>
      <c r="R41" s="98"/>
      <c r="S41" s="98"/>
      <c r="T41" s="101"/>
      <c r="U41" s="91"/>
      <c r="V41" s="102"/>
      <c r="W41" s="98"/>
      <c r="X41" s="98"/>
      <c r="Y41" s="98"/>
      <c r="Z41" s="98"/>
      <c r="AA41" s="98"/>
      <c r="AB41" s="98"/>
      <c r="AC41" s="98"/>
      <c r="AD41" s="101"/>
      <c r="AE41" s="98"/>
      <c r="AF41" s="102"/>
      <c r="AG41" s="98"/>
      <c r="AH41" s="98"/>
      <c r="AI41" s="98"/>
      <c r="AJ41" s="98"/>
      <c r="AK41" s="98"/>
      <c r="AL41" s="98"/>
      <c r="AM41" s="98"/>
      <c r="AN41" s="101"/>
      <c r="AO41" s="101"/>
      <c r="AP41" s="102"/>
      <c r="AQ41" s="98"/>
      <c r="AR41" s="98"/>
      <c r="AS41" s="98"/>
      <c r="AT41" s="98"/>
      <c r="AU41" s="98"/>
      <c r="AV41" s="98"/>
      <c r="AW41" s="98"/>
      <c r="AX41" s="101"/>
      <c r="AY41" s="101"/>
      <c r="AZ41" s="102"/>
      <c r="BA41" s="98"/>
      <c r="BB41" s="98"/>
      <c r="BC41" s="98"/>
      <c r="BD41" s="98"/>
      <c r="BE41" s="98"/>
      <c r="BF41" s="98"/>
      <c r="BG41" s="98"/>
      <c r="BH41" s="101"/>
      <c r="BI41" s="98"/>
      <c r="BJ41" s="102"/>
      <c r="BK41" s="98"/>
      <c r="BL41" s="98"/>
      <c r="BM41" s="98"/>
      <c r="BN41" s="98"/>
      <c r="BO41" s="98"/>
      <c r="BP41" s="98"/>
      <c r="BQ41" s="98"/>
      <c r="BR41" s="101"/>
      <c r="BT41" s="73"/>
    </row>
    <row r="42" spans="2:72" s="99" customFormat="1" ht="9" customHeight="1" x14ac:dyDescent="0.25">
      <c r="B42" s="82"/>
      <c r="C42" s="81"/>
      <c r="D42" s="81"/>
      <c r="E42" s="81"/>
      <c r="F42" s="81"/>
      <c r="G42" s="81"/>
      <c r="H42" s="81"/>
      <c r="I42" s="81"/>
      <c r="J42" s="83"/>
      <c r="K42" s="98"/>
      <c r="L42" s="102"/>
      <c r="M42" s="98"/>
      <c r="N42" s="98"/>
      <c r="O42" s="98"/>
      <c r="P42" s="98"/>
      <c r="Q42" s="98"/>
      <c r="R42" s="98"/>
      <c r="S42" s="98"/>
      <c r="T42" s="101"/>
      <c r="U42" s="91"/>
      <c r="V42" s="102"/>
      <c r="W42" s="98"/>
      <c r="X42" s="98"/>
      <c r="Y42" s="98"/>
      <c r="Z42" s="98"/>
      <c r="AA42" s="98"/>
      <c r="AB42" s="98"/>
      <c r="AC42" s="98"/>
      <c r="AD42" s="101"/>
      <c r="AE42" s="98"/>
      <c r="AF42" s="102"/>
      <c r="AG42" s="98"/>
      <c r="AH42" s="98"/>
      <c r="AI42" s="98"/>
      <c r="AJ42" s="98"/>
      <c r="AK42" s="98"/>
      <c r="AL42" s="98"/>
      <c r="AM42" s="98"/>
      <c r="AN42" s="101"/>
      <c r="AO42" s="101"/>
      <c r="AP42" s="102"/>
      <c r="AQ42" s="98"/>
      <c r="AR42" s="98"/>
      <c r="AS42" s="98"/>
      <c r="AT42" s="98"/>
      <c r="AU42" s="98"/>
      <c r="AV42" s="98"/>
      <c r="AW42" s="98"/>
      <c r="AX42" s="101"/>
      <c r="AY42" s="101"/>
      <c r="AZ42" s="102"/>
      <c r="BA42" s="98"/>
      <c r="BB42" s="98"/>
      <c r="BC42" s="98"/>
      <c r="BD42" s="98"/>
      <c r="BE42" s="98"/>
      <c r="BF42" s="98"/>
      <c r="BG42" s="98"/>
      <c r="BH42" s="101"/>
      <c r="BI42" s="98"/>
      <c r="BJ42" s="102"/>
      <c r="BK42" s="98"/>
      <c r="BL42" s="98"/>
      <c r="BM42" s="98"/>
      <c r="BN42" s="98"/>
      <c r="BO42" s="98"/>
      <c r="BP42" s="98"/>
      <c r="BQ42" s="98"/>
      <c r="BR42" s="101"/>
      <c r="BT42" s="73"/>
    </row>
    <row r="43" spans="2:72" s="99" customFormat="1" ht="9" customHeight="1" x14ac:dyDescent="0.25">
      <c r="B43" s="102"/>
      <c r="C43" s="98"/>
      <c r="D43" s="98"/>
      <c r="E43" s="98"/>
      <c r="F43" s="98"/>
      <c r="G43" s="98"/>
      <c r="H43" s="98"/>
      <c r="I43" s="98"/>
      <c r="J43" s="101"/>
      <c r="K43" s="98"/>
      <c r="L43" s="102"/>
      <c r="M43" s="98"/>
      <c r="N43" s="98"/>
      <c r="O43" s="98"/>
      <c r="P43" s="98"/>
      <c r="Q43" s="98"/>
      <c r="R43" s="98"/>
      <c r="S43" s="98"/>
      <c r="T43" s="101"/>
      <c r="U43" s="81"/>
      <c r="V43" s="82"/>
      <c r="W43" s="81"/>
      <c r="X43" s="81"/>
      <c r="Y43" s="81"/>
      <c r="Z43" s="81"/>
      <c r="AA43" s="81"/>
      <c r="AB43" s="81"/>
      <c r="AC43" s="81"/>
      <c r="AD43" s="83"/>
      <c r="AE43" s="98"/>
      <c r="AF43" s="82"/>
      <c r="AG43" s="81"/>
      <c r="AH43" s="81"/>
      <c r="AI43" s="81"/>
      <c r="AJ43" s="81"/>
      <c r="AK43" s="81"/>
      <c r="AL43" s="81"/>
      <c r="AM43" s="81"/>
      <c r="AN43" s="83"/>
      <c r="AO43" s="101"/>
      <c r="AP43" s="82"/>
      <c r="AQ43" s="81"/>
      <c r="AR43" s="81"/>
      <c r="AS43" s="81"/>
      <c r="AT43" s="81"/>
      <c r="AU43" s="81"/>
      <c r="AV43" s="81"/>
      <c r="AW43" s="81"/>
      <c r="AX43" s="83"/>
      <c r="AY43" s="98"/>
      <c r="AZ43" s="82"/>
      <c r="BA43" s="81"/>
      <c r="BB43" s="81"/>
      <c r="BC43" s="81"/>
      <c r="BD43" s="81"/>
      <c r="BE43" s="81"/>
      <c r="BF43" s="81"/>
      <c r="BG43" s="81"/>
      <c r="BH43" s="83"/>
      <c r="BI43" s="98"/>
      <c r="BJ43" s="82"/>
      <c r="BK43" s="81"/>
      <c r="BL43" s="81"/>
      <c r="BM43" s="81"/>
      <c r="BN43" s="81"/>
      <c r="BO43" s="81"/>
      <c r="BP43" s="81"/>
      <c r="BQ43" s="81"/>
      <c r="BR43" s="83"/>
      <c r="BT43" s="73"/>
    </row>
    <row r="44" spans="2:72" s="99" customFormat="1" ht="9" customHeight="1" x14ac:dyDescent="0.25">
      <c r="B44" s="454" t="s">
        <v>307</v>
      </c>
      <c r="C44" s="454"/>
      <c r="D44" s="454"/>
      <c r="E44" s="454"/>
      <c r="F44" s="454"/>
      <c r="G44" s="453">
        <f>CEILING(2618*B3,1)</f>
        <v>4975</v>
      </c>
      <c r="H44" s="453"/>
      <c r="I44" s="453"/>
      <c r="J44" s="453"/>
      <c r="K44" s="74"/>
      <c r="L44" s="454" t="s">
        <v>307</v>
      </c>
      <c r="M44" s="454"/>
      <c r="N44" s="454"/>
      <c r="O44" s="454"/>
      <c r="P44" s="454"/>
      <c r="Q44" s="453">
        <f>CEILING(3011*B3,1)</f>
        <v>5721</v>
      </c>
      <c r="R44" s="453"/>
      <c r="S44" s="453"/>
      <c r="T44" s="453"/>
      <c r="U44" s="75"/>
      <c r="V44" s="454" t="s">
        <v>307</v>
      </c>
      <c r="W44" s="454"/>
      <c r="X44" s="454"/>
      <c r="Y44" s="454"/>
      <c r="Z44" s="454"/>
      <c r="AA44" s="453">
        <f>CEILING(3525*B3,1)</f>
        <v>6698</v>
      </c>
      <c r="AB44" s="453"/>
      <c r="AC44" s="453"/>
      <c r="AD44" s="453"/>
      <c r="AE44" s="74"/>
      <c r="AF44" s="454" t="s">
        <v>307</v>
      </c>
      <c r="AG44" s="454"/>
      <c r="AH44" s="454"/>
      <c r="AI44" s="454"/>
      <c r="AJ44" s="454"/>
      <c r="AK44" s="453">
        <f>CEILING(3714*B3,1)</f>
        <v>7057</v>
      </c>
      <c r="AL44" s="453"/>
      <c r="AM44" s="453"/>
      <c r="AN44" s="453"/>
      <c r="AO44" s="74"/>
      <c r="AP44" s="454" t="s">
        <v>307</v>
      </c>
      <c r="AQ44" s="454"/>
      <c r="AR44" s="454"/>
      <c r="AS44" s="454"/>
      <c r="AT44" s="454"/>
      <c r="AU44" s="453">
        <f>CEILING(3714*B3,1)</f>
        <v>7057</v>
      </c>
      <c r="AV44" s="453"/>
      <c r="AW44" s="453"/>
      <c r="AX44" s="453"/>
      <c r="AY44" s="74"/>
      <c r="AZ44" s="454" t="s">
        <v>307</v>
      </c>
      <c r="BA44" s="454"/>
      <c r="BB44" s="454"/>
      <c r="BC44" s="454"/>
      <c r="BD44" s="454"/>
      <c r="BE44" s="453">
        <f>CEILING(4136*B3,1)</f>
        <v>7859</v>
      </c>
      <c r="BF44" s="453"/>
      <c r="BG44" s="453"/>
      <c r="BH44" s="453"/>
      <c r="BI44" s="74"/>
      <c r="BJ44" s="454" t="s">
        <v>307</v>
      </c>
      <c r="BK44" s="454"/>
      <c r="BL44" s="454"/>
      <c r="BM44" s="454"/>
      <c r="BN44" s="454"/>
      <c r="BO44" s="453">
        <f>CEILING(4527*B3,1)</f>
        <v>8602</v>
      </c>
      <c r="BP44" s="453"/>
      <c r="BQ44" s="453"/>
      <c r="BR44" s="453"/>
      <c r="BT44" s="73"/>
    </row>
    <row r="45" spans="2:72" s="99" customFormat="1" ht="9" customHeight="1" x14ac:dyDescent="0.25">
      <c r="B45" s="454" t="s">
        <v>308</v>
      </c>
      <c r="C45" s="454"/>
      <c r="D45" s="454"/>
      <c r="E45" s="454"/>
      <c r="F45" s="454"/>
      <c r="G45" s="453">
        <f>CEILING(2886*B3,1)</f>
        <v>5484</v>
      </c>
      <c r="H45" s="453"/>
      <c r="I45" s="453"/>
      <c r="J45" s="453"/>
      <c r="K45" s="74"/>
      <c r="L45" s="454" t="s">
        <v>308</v>
      </c>
      <c r="M45" s="454"/>
      <c r="N45" s="454"/>
      <c r="O45" s="454"/>
      <c r="P45" s="454"/>
      <c r="Q45" s="453">
        <f>CEILING(3282*B3,1)</f>
        <v>6236</v>
      </c>
      <c r="R45" s="453"/>
      <c r="S45" s="453"/>
      <c r="T45" s="453"/>
      <c r="U45" s="75"/>
      <c r="V45" s="454" t="s">
        <v>308</v>
      </c>
      <c r="W45" s="454"/>
      <c r="X45" s="454"/>
      <c r="Y45" s="454"/>
      <c r="Z45" s="454"/>
      <c r="AA45" s="453">
        <f>CEILING(3792*B3,1)</f>
        <v>7205</v>
      </c>
      <c r="AB45" s="453"/>
      <c r="AC45" s="453"/>
      <c r="AD45" s="453"/>
      <c r="AE45" s="74"/>
      <c r="AF45" s="454" t="s">
        <v>308</v>
      </c>
      <c r="AG45" s="454"/>
      <c r="AH45" s="454"/>
      <c r="AI45" s="454"/>
      <c r="AJ45" s="454"/>
      <c r="AK45" s="453">
        <f>CEILING(3876*B3,1)</f>
        <v>7365</v>
      </c>
      <c r="AL45" s="453"/>
      <c r="AM45" s="453"/>
      <c r="AN45" s="453"/>
      <c r="AO45" s="74"/>
      <c r="AP45" s="454" t="s">
        <v>308</v>
      </c>
      <c r="AQ45" s="454"/>
      <c r="AR45" s="454"/>
      <c r="AS45" s="454"/>
      <c r="AT45" s="454"/>
      <c r="AU45" s="453">
        <f>CEILING(4024*B3,1)</f>
        <v>7646</v>
      </c>
      <c r="AV45" s="453"/>
      <c r="AW45" s="453"/>
      <c r="AX45" s="453"/>
      <c r="AY45" s="74"/>
      <c r="AZ45" s="454" t="s">
        <v>308</v>
      </c>
      <c r="BA45" s="454"/>
      <c r="BB45" s="454"/>
      <c r="BC45" s="454"/>
      <c r="BD45" s="454"/>
      <c r="BE45" s="453">
        <f>CEILING(4338*B3,1)</f>
        <v>8243</v>
      </c>
      <c r="BF45" s="453"/>
      <c r="BG45" s="453"/>
      <c r="BH45" s="453"/>
      <c r="BI45" s="74"/>
      <c r="BJ45" s="454" t="s">
        <v>308</v>
      </c>
      <c r="BK45" s="454"/>
      <c r="BL45" s="454"/>
      <c r="BM45" s="454"/>
      <c r="BN45" s="454"/>
      <c r="BO45" s="453">
        <f>CEILING(4743*B3,1)</f>
        <v>9012</v>
      </c>
      <c r="BP45" s="453"/>
      <c r="BQ45" s="453"/>
      <c r="BR45" s="453"/>
      <c r="BT45" s="73"/>
    </row>
    <row r="46" spans="2:72" s="73" customFormat="1" ht="1.5" customHeight="1" x14ac:dyDescent="0.25">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93"/>
      <c r="AW46" s="81"/>
      <c r="AX46" s="81"/>
      <c r="AY46" s="81"/>
      <c r="AZ46" s="81"/>
      <c r="BA46" s="81"/>
      <c r="BB46" s="81"/>
      <c r="BC46" s="81"/>
      <c r="BD46" s="81"/>
      <c r="BE46" s="81"/>
      <c r="BF46" s="81"/>
      <c r="BG46" s="81"/>
      <c r="BH46" s="81"/>
      <c r="BI46" s="81"/>
      <c r="BJ46" s="81"/>
      <c r="BK46" s="81"/>
      <c r="BL46" s="81"/>
      <c r="BM46" s="81"/>
      <c r="BN46" s="81"/>
      <c r="BO46" s="81"/>
      <c r="BP46" s="81"/>
      <c r="BQ46" s="81"/>
      <c r="BR46" s="81"/>
    </row>
    <row r="47" spans="2:72" s="73" customFormat="1" ht="9" customHeight="1" x14ac:dyDescent="0.25">
      <c r="B47" s="464" t="s">
        <v>309</v>
      </c>
      <c r="C47" s="465"/>
      <c r="D47" s="466"/>
      <c r="E47" s="467" t="s">
        <v>310</v>
      </c>
      <c r="F47" s="462"/>
      <c r="G47" s="462"/>
      <c r="H47" s="462"/>
      <c r="I47" s="462"/>
      <c r="J47" s="463"/>
      <c r="K47" s="81"/>
      <c r="L47" s="464" t="s">
        <v>311</v>
      </c>
      <c r="M47" s="465"/>
      <c r="N47" s="466"/>
      <c r="O47" s="467" t="s">
        <v>310</v>
      </c>
      <c r="P47" s="462"/>
      <c r="Q47" s="462"/>
      <c r="R47" s="462"/>
      <c r="S47" s="462"/>
      <c r="T47" s="463"/>
      <c r="U47" s="81"/>
      <c r="V47" s="464" t="s">
        <v>312</v>
      </c>
      <c r="W47" s="465"/>
      <c r="X47" s="466"/>
      <c r="Y47" s="467" t="s">
        <v>310</v>
      </c>
      <c r="Z47" s="462"/>
      <c r="AA47" s="462"/>
      <c r="AB47" s="462"/>
      <c r="AC47" s="462"/>
      <c r="AD47" s="463"/>
      <c r="AE47" s="81"/>
      <c r="AF47" s="464" t="s">
        <v>313</v>
      </c>
      <c r="AG47" s="465"/>
      <c r="AH47" s="466"/>
      <c r="AI47" s="467" t="s">
        <v>310</v>
      </c>
      <c r="AJ47" s="462"/>
      <c r="AK47" s="462"/>
      <c r="AL47" s="462"/>
      <c r="AM47" s="462"/>
      <c r="AN47" s="463"/>
      <c r="AO47" s="81"/>
      <c r="AP47" s="464" t="s">
        <v>314</v>
      </c>
      <c r="AQ47" s="465"/>
      <c r="AR47" s="466"/>
      <c r="AS47" s="467" t="s">
        <v>310</v>
      </c>
      <c r="AT47" s="462"/>
      <c r="AU47" s="462"/>
      <c r="AV47" s="462"/>
      <c r="AW47" s="462"/>
      <c r="AX47" s="463"/>
      <c r="AY47" s="81"/>
      <c r="AZ47" s="464" t="s">
        <v>315</v>
      </c>
      <c r="BA47" s="465"/>
      <c r="BB47" s="466"/>
      <c r="BC47" s="467" t="s">
        <v>310</v>
      </c>
      <c r="BD47" s="462"/>
      <c r="BE47" s="462"/>
      <c r="BF47" s="462"/>
      <c r="BG47" s="462"/>
      <c r="BH47" s="463"/>
      <c r="BI47" s="81"/>
      <c r="BJ47" s="464" t="s">
        <v>316</v>
      </c>
      <c r="BK47" s="465"/>
      <c r="BL47" s="466"/>
      <c r="BM47" s="467" t="s">
        <v>310</v>
      </c>
      <c r="BN47" s="462"/>
      <c r="BO47" s="462"/>
      <c r="BP47" s="462"/>
      <c r="BQ47" s="462"/>
      <c r="BR47" s="463"/>
    </row>
    <row r="48" spans="2:72" s="84" customFormat="1" ht="9" customHeight="1" x14ac:dyDescent="0.25">
      <c r="B48" s="459" t="s">
        <v>297</v>
      </c>
      <c r="C48" s="460"/>
      <c r="D48" s="460"/>
      <c r="E48" s="460"/>
      <c r="F48" s="460"/>
      <c r="G48" s="460"/>
      <c r="H48" s="460"/>
      <c r="I48" s="460"/>
      <c r="J48" s="461"/>
      <c r="K48" s="88"/>
      <c r="L48" s="459" t="s">
        <v>297</v>
      </c>
      <c r="M48" s="460"/>
      <c r="N48" s="460"/>
      <c r="O48" s="460"/>
      <c r="P48" s="460"/>
      <c r="Q48" s="460"/>
      <c r="R48" s="460"/>
      <c r="S48" s="460"/>
      <c r="T48" s="461"/>
      <c r="U48" s="88"/>
      <c r="V48" s="459" t="s">
        <v>297</v>
      </c>
      <c r="W48" s="460"/>
      <c r="X48" s="460"/>
      <c r="Y48" s="460"/>
      <c r="Z48" s="460"/>
      <c r="AA48" s="460"/>
      <c r="AB48" s="460"/>
      <c r="AC48" s="460"/>
      <c r="AD48" s="461"/>
      <c r="AE48" s="88"/>
      <c r="AF48" s="459" t="s">
        <v>297</v>
      </c>
      <c r="AG48" s="460"/>
      <c r="AH48" s="460"/>
      <c r="AI48" s="460"/>
      <c r="AJ48" s="460"/>
      <c r="AK48" s="460"/>
      <c r="AL48" s="460"/>
      <c r="AM48" s="460"/>
      <c r="AN48" s="461"/>
      <c r="AO48" s="88"/>
      <c r="AP48" s="459" t="s">
        <v>297</v>
      </c>
      <c r="AQ48" s="460"/>
      <c r="AR48" s="460"/>
      <c r="AS48" s="460"/>
      <c r="AT48" s="460"/>
      <c r="AU48" s="460"/>
      <c r="AV48" s="460"/>
      <c r="AW48" s="460"/>
      <c r="AX48" s="461"/>
      <c r="AY48" s="88"/>
      <c r="AZ48" s="459" t="s">
        <v>297</v>
      </c>
      <c r="BA48" s="460"/>
      <c r="BB48" s="460"/>
      <c r="BC48" s="460"/>
      <c r="BD48" s="460"/>
      <c r="BE48" s="460"/>
      <c r="BF48" s="460"/>
      <c r="BG48" s="460"/>
      <c r="BH48" s="461"/>
      <c r="BI48" s="88"/>
      <c r="BJ48" s="459" t="s">
        <v>297</v>
      </c>
      <c r="BK48" s="460"/>
      <c r="BL48" s="460"/>
      <c r="BM48" s="460"/>
      <c r="BN48" s="460"/>
      <c r="BO48" s="460"/>
      <c r="BP48" s="460"/>
      <c r="BQ48" s="460"/>
      <c r="BR48" s="461"/>
    </row>
    <row r="49" spans="2:72" s="84" customFormat="1" ht="9" customHeight="1" x14ac:dyDescent="0.25">
      <c r="B49" s="94"/>
      <c r="C49" s="88"/>
      <c r="D49" s="88"/>
      <c r="E49" s="88"/>
      <c r="F49" s="88"/>
      <c r="G49" s="88"/>
      <c r="H49" s="88"/>
      <c r="I49" s="88"/>
      <c r="J49" s="89"/>
      <c r="K49" s="88"/>
      <c r="L49" s="94"/>
      <c r="M49" s="88"/>
      <c r="N49" s="88"/>
      <c r="O49" s="88"/>
      <c r="P49" s="88"/>
      <c r="Q49" s="88"/>
      <c r="R49" s="88"/>
      <c r="S49" s="88"/>
      <c r="T49" s="89"/>
      <c r="U49" s="88"/>
      <c r="V49" s="94"/>
      <c r="W49" s="88"/>
      <c r="X49" s="88"/>
      <c r="Y49" s="88"/>
      <c r="Z49" s="88"/>
      <c r="AA49" s="88"/>
      <c r="AB49" s="88"/>
      <c r="AC49" s="88"/>
      <c r="AD49" s="89"/>
      <c r="AE49" s="88"/>
      <c r="AF49" s="94"/>
      <c r="AG49" s="88"/>
      <c r="AH49" s="88"/>
      <c r="AI49" s="88"/>
      <c r="AJ49" s="88"/>
      <c r="AK49" s="88"/>
      <c r="AL49" s="88"/>
      <c r="AM49" s="88"/>
      <c r="AN49" s="89"/>
      <c r="AO49" s="88"/>
      <c r="AP49" s="94"/>
      <c r="AQ49" s="88"/>
      <c r="AR49" s="88"/>
      <c r="AS49" s="88"/>
      <c r="AT49" s="88"/>
      <c r="AU49" s="88"/>
      <c r="AV49" s="88"/>
      <c r="AW49" s="88"/>
      <c r="AX49" s="89"/>
      <c r="AY49" s="88"/>
      <c r="AZ49" s="94"/>
      <c r="BA49" s="88"/>
      <c r="BB49" s="88"/>
      <c r="BC49" s="88"/>
      <c r="BD49" s="88"/>
      <c r="BE49" s="88"/>
      <c r="BF49" s="88"/>
      <c r="BG49" s="88"/>
      <c r="BH49" s="89"/>
      <c r="BI49" s="88"/>
      <c r="BJ49" s="94"/>
      <c r="BK49" s="88"/>
      <c r="BL49" s="88"/>
      <c r="BM49" s="88"/>
      <c r="BN49" s="88"/>
      <c r="BO49" s="88"/>
      <c r="BP49" s="88"/>
      <c r="BQ49" s="88"/>
      <c r="BR49" s="89"/>
      <c r="BT49" s="73"/>
    </row>
    <row r="50" spans="2:72" s="84" customFormat="1" ht="9" customHeight="1" x14ac:dyDescent="0.25">
      <c r="B50" s="94"/>
      <c r="C50" s="88"/>
      <c r="D50" s="88"/>
      <c r="E50" s="88"/>
      <c r="F50" s="88"/>
      <c r="G50" s="88"/>
      <c r="H50" s="88"/>
      <c r="I50" s="88"/>
      <c r="J50" s="89"/>
      <c r="K50" s="88"/>
      <c r="L50" s="94"/>
      <c r="M50" s="88"/>
      <c r="N50" s="88"/>
      <c r="O50" s="88"/>
      <c r="P50" s="88"/>
      <c r="Q50" s="88"/>
      <c r="R50" s="88"/>
      <c r="S50" s="88"/>
      <c r="T50" s="89"/>
      <c r="U50" s="88"/>
      <c r="V50" s="94"/>
      <c r="W50" s="88"/>
      <c r="X50" s="88"/>
      <c r="Y50" s="88"/>
      <c r="Z50" s="88"/>
      <c r="AA50" s="88"/>
      <c r="AB50" s="88"/>
      <c r="AC50" s="88"/>
      <c r="AD50" s="89"/>
      <c r="AE50" s="88"/>
      <c r="AF50" s="94"/>
      <c r="AG50" s="88"/>
      <c r="AH50" s="88"/>
      <c r="AI50" s="88"/>
      <c r="AJ50" s="88"/>
      <c r="AK50" s="88"/>
      <c r="AL50" s="88"/>
      <c r="AM50" s="88"/>
      <c r="AN50" s="89"/>
      <c r="AO50" s="88"/>
      <c r="AP50" s="94"/>
      <c r="AQ50" s="88"/>
      <c r="AR50" s="88"/>
      <c r="AS50" s="88"/>
      <c r="AT50" s="88"/>
      <c r="AU50" s="88"/>
      <c r="AV50" s="88"/>
      <c r="AW50" s="88"/>
      <c r="AX50" s="89"/>
      <c r="AY50" s="88"/>
      <c r="AZ50" s="94"/>
      <c r="BA50" s="88"/>
      <c r="BB50" s="88"/>
      <c r="BC50" s="88"/>
      <c r="BD50" s="88"/>
      <c r="BE50" s="88"/>
      <c r="BF50" s="88"/>
      <c r="BG50" s="88"/>
      <c r="BH50" s="89"/>
      <c r="BI50" s="88"/>
      <c r="BJ50" s="94"/>
      <c r="BK50" s="88"/>
      <c r="BL50" s="88"/>
      <c r="BM50" s="88"/>
      <c r="BN50" s="88"/>
      <c r="BO50" s="88"/>
      <c r="BP50" s="88"/>
      <c r="BQ50" s="88"/>
      <c r="BR50" s="89"/>
      <c r="BT50" s="73"/>
    </row>
    <row r="51" spans="2:72" s="73" customFormat="1" ht="9" customHeight="1" x14ac:dyDescent="0.25">
      <c r="B51" s="82"/>
      <c r="C51" s="81"/>
      <c r="D51" s="81"/>
      <c r="E51" s="81"/>
      <c r="F51" s="81"/>
      <c r="G51" s="81"/>
      <c r="H51" s="81"/>
      <c r="I51" s="81"/>
      <c r="J51" s="83"/>
      <c r="K51" s="81"/>
      <c r="L51" s="82"/>
      <c r="M51" s="81"/>
      <c r="N51" s="81"/>
      <c r="O51" s="81"/>
      <c r="P51" s="81"/>
      <c r="Q51" s="81"/>
      <c r="R51" s="81"/>
      <c r="S51" s="81"/>
      <c r="T51" s="83"/>
      <c r="U51" s="81"/>
      <c r="V51" s="82"/>
      <c r="W51" s="81"/>
      <c r="X51" s="81"/>
      <c r="Y51" s="81"/>
      <c r="Z51" s="81"/>
      <c r="AA51" s="81"/>
      <c r="AB51" s="81"/>
      <c r="AC51" s="81"/>
      <c r="AD51" s="83"/>
      <c r="AE51" s="81"/>
      <c r="AF51" s="82"/>
      <c r="AG51" s="81"/>
      <c r="AH51" s="81"/>
      <c r="AI51" s="81"/>
      <c r="AJ51" s="81"/>
      <c r="AK51" s="81"/>
      <c r="AL51" s="81"/>
      <c r="AM51" s="81"/>
      <c r="AN51" s="83"/>
      <c r="AO51" s="81"/>
      <c r="AP51" s="82"/>
      <c r="AQ51" s="81"/>
      <c r="AR51" s="81"/>
      <c r="AS51" s="81"/>
      <c r="AT51" s="81"/>
      <c r="AU51" s="81"/>
      <c r="AV51" s="81"/>
      <c r="AW51" s="81"/>
      <c r="AX51" s="83"/>
      <c r="AY51" s="81"/>
      <c r="AZ51" s="82"/>
      <c r="BA51" s="81"/>
      <c r="BB51" s="81"/>
      <c r="BC51" s="81"/>
      <c r="BD51" s="81"/>
      <c r="BE51" s="81"/>
      <c r="BF51" s="81"/>
      <c r="BG51" s="81"/>
      <c r="BH51" s="83"/>
      <c r="BI51" s="81"/>
      <c r="BJ51" s="82"/>
      <c r="BK51" s="81"/>
      <c r="BL51" s="81"/>
      <c r="BM51" s="81"/>
      <c r="BN51" s="81"/>
      <c r="BO51" s="81"/>
      <c r="BP51" s="81"/>
      <c r="BQ51" s="81"/>
      <c r="BR51" s="83"/>
    </row>
    <row r="52" spans="2:72" s="99" customFormat="1" ht="9" customHeight="1" x14ac:dyDescent="0.25">
      <c r="B52" s="102"/>
      <c r="C52" s="98"/>
      <c r="D52" s="98"/>
      <c r="E52" s="98"/>
      <c r="F52" s="98"/>
      <c r="G52" s="98"/>
      <c r="H52" s="98"/>
      <c r="I52" s="98"/>
      <c r="J52" s="101"/>
      <c r="K52" s="98"/>
      <c r="L52" s="102"/>
      <c r="M52" s="98"/>
      <c r="N52" s="98"/>
      <c r="O52" s="98"/>
      <c r="P52" s="98"/>
      <c r="Q52" s="98"/>
      <c r="R52" s="98"/>
      <c r="S52" s="98"/>
      <c r="T52" s="101"/>
      <c r="U52" s="98"/>
      <c r="V52" s="102"/>
      <c r="W52" s="98"/>
      <c r="X52" s="98"/>
      <c r="Y52" s="98"/>
      <c r="Z52" s="98"/>
      <c r="AA52" s="98"/>
      <c r="AB52" s="98"/>
      <c r="AC52" s="98"/>
      <c r="AD52" s="101"/>
      <c r="AE52" s="98"/>
      <c r="AF52" s="102"/>
      <c r="AG52" s="98"/>
      <c r="AH52" s="98"/>
      <c r="AI52" s="98"/>
      <c r="AJ52" s="98"/>
      <c r="AK52" s="98"/>
      <c r="AL52" s="98"/>
      <c r="AM52" s="98"/>
      <c r="AN52" s="101"/>
      <c r="AO52" s="98"/>
      <c r="AP52" s="102"/>
      <c r="AQ52" s="98"/>
      <c r="AR52" s="98"/>
      <c r="AS52" s="98"/>
      <c r="AT52" s="98"/>
      <c r="AU52" s="98"/>
      <c r="AV52" s="98"/>
      <c r="AW52" s="98"/>
      <c r="AX52" s="101"/>
      <c r="AY52" s="98"/>
      <c r="AZ52" s="102"/>
      <c r="BA52" s="98"/>
      <c r="BB52" s="98"/>
      <c r="BC52" s="98"/>
      <c r="BD52" s="98"/>
      <c r="BE52" s="98"/>
      <c r="BF52" s="98"/>
      <c r="BG52" s="98"/>
      <c r="BH52" s="101"/>
      <c r="BI52" s="98"/>
      <c r="BJ52" s="102"/>
      <c r="BK52" s="98"/>
      <c r="BL52" s="98"/>
      <c r="BM52" s="98"/>
      <c r="BN52" s="98"/>
      <c r="BO52" s="98"/>
      <c r="BP52" s="98"/>
      <c r="BQ52" s="98"/>
      <c r="BR52" s="101"/>
      <c r="BT52" s="73"/>
    </row>
    <row r="53" spans="2:72" s="99" customFormat="1" ht="9" customHeight="1" x14ac:dyDescent="0.25">
      <c r="B53" s="102"/>
      <c r="C53" s="98"/>
      <c r="D53" s="98"/>
      <c r="E53" s="98"/>
      <c r="F53" s="98"/>
      <c r="G53" s="98"/>
      <c r="H53" s="98"/>
      <c r="I53" s="98"/>
      <c r="J53" s="101"/>
      <c r="K53" s="98"/>
      <c r="L53" s="102"/>
      <c r="M53" s="98"/>
      <c r="N53" s="98"/>
      <c r="O53" s="98"/>
      <c r="P53" s="98"/>
      <c r="Q53" s="98"/>
      <c r="R53" s="98"/>
      <c r="S53" s="98"/>
      <c r="T53" s="101"/>
      <c r="U53" s="98"/>
      <c r="V53" s="102"/>
      <c r="W53" s="98"/>
      <c r="X53" s="98"/>
      <c r="Y53" s="98"/>
      <c r="Z53" s="98"/>
      <c r="AA53" s="98"/>
      <c r="AB53" s="98"/>
      <c r="AC53" s="98"/>
      <c r="AD53" s="101"/>
      <c r="AE53" s="98"/>
      <c r="AF53" s="102"/>
      <c r="AG53" s="98"/>
      <c r="AH53" s="98"/>
      <c r="AI53" s="98"/>
      <c r="AJ53" s="98"/>
      <c r="AK53" s="98"/>
      <c r="AL53" s="98"/>
      <c r="AM53" s="98"/>
      <c r="AN53" s="101"/>
      <c r="AO53" s="98"/>
      <c r="AP53" s="102"/>
      <c r="AQ53" s="98"/>
      <c r="AR53" s="98"/>
      <c r="AS53" s="98"/>
      <c r="AT53" s="98"/>
      <c r="AU53" s="98"/>
      <c r="AV53" s="98"/>
      <c r="AW53" s="98"/>
      <c r="AX53" s="101"/>
      <c r="AY53" s="98"/>
      <c r="AZ53" s="102"/>
      <c r="BA53" s="98"/>
      <c r="BB53" s="98"/>
      <c r="BC53" s="98"/>
      <c r="BD53" s="98"/>
      <c r="BE53" s="98"/>
      <c r="BF53" s="98"/>
      <c r="BG53" s="98"/>
      <c r="BH53" s="101"/>
      <c r="BI53" s="98"/>
      <c r="BJ53" s="102"/>
      <c r="BK53" s="98"/>
      <c r="BL53" s="98"/>
      <c r="BM53" s="98"/>
      <c r="BN53" s="98"/>
      <c r="BO53" s="98"/>
      <c r="BP53" s="98"/>
      <c r="BQ53" s="98"/>
      <c r="BR53" s="101"/>
      <c r="BT53" s="73"/>
    </row>
    <row r="54" spans="2:72" s="99" customFormat="1" ht="9" customHeight="1" x14ac:dyDescent="0.25">
      <c r="B54" s="102"/>
      <c r="C54" s="98"/>
      <c r="D54" s="98"/>
      <c r="E54" s="98"/>
      <c r="F54" s="98"/>
      <c r="G54" s="98"/>
      <c r="H54" s="98"/>
      <c r="I54" s="98"/>
      <c r="J54" s="101"/>
      <c r="K54" s="98"/>
      <c r="L54" s="102"/>
      <c r="M54" s="98"/>
      <c r="N54" s="98"/>
      <c r="O54" s="98"/>
      <c r="P54" s="98"/>
      <c r="Q54" s="98"/>
      <c r="R54" s="98"/>
      <c r="S54" s="98"/>
      <c r="T54" s="101"/>
      <c r="U54" s="98"/>
      <c r="V54" s="102"/>
      <c r="W54" s="98"/>
      <c r="X54" s="98"/>
      <c r="Y54" s="98"/>
      <c r="Z54" s="98"/>
      <c r="AA54" s="98"/>
      <c r="AB54" s="98"/>
      <c r="AC54" s="98"/>
      <c r="AD54" s="101"/>
      <c r="AE54" s="98"/>
      <c r="AF54" s="102"/>
      <c r="AG54" s="98"/>
      <c r="AH54" s="98"/>
      <c r="AI54" s="98"/>
      <c r="AJ54" s="98"/>
      <c r="AK54" s="98"/>
      <c r="AL54" s="98"/>
      <c r="AM54" s="98"/>
      <c r="AN54" s="101"/>
      <c r="AO54" s="98"/>
      <c r="AP54" s="102"/>
      <c r="AQ54" s="98"/>
      <c r="AR54" s="98"/>
      <c r="AS54" s="98"/>
      <c r="AT54" s="98"/>
      <c r="AU54" s="98"/>
      <c r="AV54" s="98"/>
      <c r="AW54" s="98"/>
      <c r="AX54" s="101"/>
      <c r="AY54" s="98"/>
      <c r="AZ54" s="102"/>
      <c r="BA54" s="98"/>
      <c r="BB54" s="98"/>
      <c r="BC54" s="98"/>
      <c r="BD54" s="98"/>
      <c r="BE54" s="98"/>
      <c r="BF54" s="98"/>
      <c r="BG54" s="98"/>
      <c r="BH54" s="101"/>
      <c r="BI54" s="98"/>
      <c r="BJ54" s="102"/>
      <c r="BK54" s="98"/>
      <c r="BL54" s="98"/>
      <c r="BM54" s="98"/>
      <c r="BN54" s="98"/>
      <c r="BO54" s="98"/>
      <c r="BP54" s="98"/>
      <c r="BQ54" s="98"/>
      <c r="BR54" s="101"/>
      <c r="BT54" s="73"/>
    </row>
    <row r="55" spans="2:72" s="99" customFormat="1" ht="9" customHeight="1" x14ac:dyDescent="0.25">
      <c r="B55" s="102"/>
      <c r="C55" s="98"/>
      <c r="D55" s="98"/>
      <c r="E55" s="98"/>
      <c r="F55" s="98"/>
      <c r="G55" s="98"/>
      <c r="H55" s="98"/>
      <c r="I55" s="98"/>
      <c r="J55" s="101"/>
      <c r="K55" s="98"/>
      <c r="L55" s="102"/>
      <c r="M55" s="98"/>
      <c r="N55" s="98"/>
      <c r="O55" s="98"/>
      <c r="P55" s="98"/>
      <c r="Q55" s="98"/>
      <c r="R55" s="98"/>
      <c r="S55" s="98"/>
      <c r="T55" s="101"/>
      <c r="U55" s="98"/>
      <c r="V55" s="102"/>
      <c r="W55" s="98"/>
      <c r="X55" s="98"/>
      <c r="Y55" s="98"/>
      <c r="Z55" s="98"/>
      <c r="AA55" s="98"/>
      <c r="AB55" s="98"/>
      <c r="AC55" s="98"/>
      <c r="AD55" s="101"/>
      <c r="AE55" s="98"/>
      <c r="AF55" s="102"/>
      <c r="AG55" s="98"/>
      <c r="AH55" s="98"/>
      <c r="AI55" s="98"/>
      <c r="AJ55" s="98"/>
      <c r="AK55" s="98"/>
      <c r="AL55" s="98"/>
      <c r="AM55" s="98"/>
      <c r="AN55" s="101"/>
      <c r="AO55" s="98"/>
      <c r="AP55" s="102"/>
      <c r="AQ55" s="98"/>
      <c r="AR55" s="98"/>
      <c r="AS55" s="98"/>
      <c r="AT55" s="98"/>
      <c r="AU55" s="98"/>
      <c r="AV55" s="98"/>
      <c r="AW55" s="98"/>
      <c r="AX55" s="101"/>
      <c r="AY55" s="98"/>
      <c r="AZ55" s="102"/>
      <c r="BA55" s="98"/>
      <c r="BB55" s="98"/>
      <c r="BC55" s="98"/>
      <c r="BD55" s="98"/>
      <c r="BE55" s="98"/>
      <c r="BF55" s="98"/>
      <c r="BG55" s="98"/>
      <c r="BH55" s="101"/>
      <c r="BI55" s="98"/>
      <c r="BJ55" s="102"/>
      <c r="BK55" s="98"/>
      <c r="BL55" s="98"/>
      <c r="BM55" s="98"/>
      <c r="BN55" s="98"/>
      <c r="BO55" s="98"/>
      <c r="BP55" s="98"/>
      <c r="BQ55" s="98"/>
      <c r="BR55" s="101"/>
      <c r="BT55" s="73"/>
    </row>
    <row r="56" spans="2:72" s="99" customFormat="1" ht="9" customHeight="1" x14ac:dyDescent="0.25">
      <c r="B56" s="102"/>
      <c r="C56" s="98"/>
      <c r="D56" s="98"/>
      <c r="E56" s="98"/>
      <c r="F56" s="98"/>
      <c r="G56" s="98"/>
      <c r="H56" s="98"/>
      <c r="I56" s="98"/>
      <c r="J56" s="101"/>
      <c r="K56" s="98"/>
      <c r="L56" s="102"/>
      <c r="M56" s="98"/>
      <c r="N56" s="98"/>
      <c r="O56" s="98"/>
      <c r="P56" s="98"/>
      <c r="Q56" s="98"/>
      <c r="R56" s="98"/>
      <c r="S56" s="98"/>
      <c r="T56" s="101"/>
      <c r="U56" s="98"/>
      <c r="V56" s="102"/>
      <c r="W56" s="98"/>
      <c r="X56" s="98"/>
      <c r="Y56" s="98"/>
      <c r="Z56" s="98"/>
      <c r="AA56" s="98"/>
      <c r="AB56" s="98"/>
      <c r="AC56" s="98"/>
      <c r="AD56" s="101"/>
      <c r="AE56" s="98"/>
      <c r="AF56" s="102"/>
      <c r="AG56" s="98"/>
      <c r="AH56" s="98"/>
      <c r="AI56" s="98"/>
      <c r="AJ56" s="98"/>
      <c r="AK56" s="98"/>
      <c r="AL56" s="98"/>
      <c r="AM56" s="98"/>
      <c r="AN56" s="101"/>
      <c r="AO56" s="98"/>
      <c r="AP56" s="102"/>
      <c r="AQ56" s="98"/>
      <c r="AR56" s="98"/>
      <c r="AS56" s="98"/>
      <c r="AT56" s="98"/>
      <c r="AU56" s="98"/>
      <c r="AV56" s="98"/>
      <c r="AW56" s="98"/>
      <c r="AX56" s="101"/>
      <c r="AY56" s="98"/>
      <c r="AZ56" s="102"/>
      <c r="BA56" s="98"/>
      <c r="BB56" s="98"/>
      <c r="BC56" s="98"/>
      <c r="BD56" s="98"/>
      <c r="BE56" s="98"/>
      <c r="BF56" s="98"/>
      <c r="BG56" s="98"/>
      <c r="BH56" s="101"/>
      <c r="BI56" s="98"/>
      <c r="BJ56" s="102"/>
      <c r="BK56" s="98"/>
      <c r="BL56" s="98"/>
      <c r="BM56" s="98"/>
      <c r="BN56" s="98"/>
      <c r="BO56" s="98"/>
      <c r="BP56" s="98"/>
      <c r="BQ56" s="98"/>
      <c r="BR56" s="101"/>
      <c r="BT56" s="73"/>
    </row>
    <row r="57" spans="2:72" s="99" customFormat="1" ht="9" customHeight="1" x14ac:dyDescent="0.25">
      <c r="B57" s="102"/>
      <c r="C57" s="98"/>
      <c r="D57" s="98"/>
      <c r="E57" s="98"/>
      <c r="F57" s="98"/>
      <c r="G57" s="98"/>
      <c r="H57" s="98"/>
      <c r="I57" s="98"/>
      <c r="J57" s="101"/>
      <c r="K57" s="98"/>
      <c r="L57" s="102"/>
      <c r="M57" s="98"/>
      <c r="N57" s="98"/>
      <c r="O57" s="98"/>
      <c r="P57" s="98"/>
      <c r="Q57" s="98"/>
      <c r="R57" s="98"/>
      <c r="S57" s="98"/>
      <c r="T57" s="101"/>
      <c r="U57" s="98"/>
      <c r="V57" s="102"/>
      <c r="W57" s="98"/>
      <c r="X57" s="98"/>
      <c r="Y57" s="98"/>
      <c r="Z57" s="98"/>
      <c r="AA57" s="98"/>
      <c r="AB57" s="98"/>
      <c r="AC57" s="98"/>
      <c r="AD57" s="101"/>
      <c r="AE57" s="98"/>
      <c r="AF57" s="102"/>
      <c r="AG57" s="98"/>
      <c r="AH57" s="98"/>
      <c r="AI57" s="98"/>
      <c r="AJ57" s="98"/>
      <c r="AK57" s="98"/>
      <c r="AL57" s="98"/>
      <c r="AM57" s="98"/>
      <c r="AN57" s="101"/>
      <c r="AO57" s="98"/>
      <c r="AP57" s="102"/>
      <c r="AQ57" s="98"/>
      <c r="AR57" s="98"/>
      <c r="AS57" s="98"/>
      <c r="AT57" s="98"/>
      <c r="AU57" s="98"/>
      <c r="AV57" s="98"/>
      <c r="AW57" s="98"/>
      <c r="AX57" s="101"/>
      <c r="AY57" s="98"/>
      <c r="AZ57" s="102"/>
      <c r="BA57" s="98"/>
      <c r="BB57" s="98"/>
      <c r="BC57" s="98"/>
      <c r="BD57" s="98"/>
      <c r="BE57" s="98"/>
      <c r="BF57" s="98"/>
      <c r="BG57" s="98"/>
      <c r="BH57" s="101"/>
      <c r="BI57" s="98"/>
      <c r="BJ57" s="102"/>
      <c r="BK57" s="98"/>
      <c r="BL57" s="98"/>
      <c r="BM57" s="98"/>
      <c r="BN57" s="98"/>
      <c r="BO57" s="98"/>
      <c r="BP57" s="98"/>
      <c r="BQ57" s="98"/>
      <c r="BR57" s="101"/>
      <c r="BT57" s="73"/>
    </row>
    <row r="58" spans="2:72" s="99" customFormat="1" ht="9" customHeight="1" x14ac:dyDescent="0.25">
      <c r="B58" s="102"/>
      <c r="C58" s="98"/>
      <c r="D58" s="98"/>
      <c r="E58" s="98"/>
      <c r="F58" s="98"/>
      <c r="G58" s="98"/>
      <c r="H58" s="98"/>
      <c r="I58" s="98"/>
      <c r="J58" s="101"/>
      <c r="K58" s="98"/>
      <c r="L58" s="102"/>
      <c r="M58" s="98"/>
      <c r="N58" s="98"/>
      <c r="O58" s="98"/>
      <c r="P58" s="98"/>
      <c r="Q58" s="98"/>
      <c r="R58" s="98"/>
      <c r="S58" s="98"/>
      <c r="T58" s="101"/>
      <c r="U58" s="98"/>
      <c r="V58" s="102"/>
      <c r="W58" s="98"/>
      <c r="X58" s="98"/>
      <c r="Y58" s="98"/>
      <c r="Z58" s="98"/>
      <c r="AA58" s="98"/>
      <c r="AB58" s="98"/>
      <c r="AC58" s="98"/>
      <c r="AD58" s="101"/>
      <c r="AE58" s="98"/>
      <c r="AF58" s="102"/>
      <c r="AG58" s="98"/>
      <c r="AH58" s="98"/>
      <c r="AI58" s="98"/>
      <c r="AJ58" s="98"/>
      <c r="AK58" s="98"/>
      <c r="AL58" s="98"/>
      <c r="AM58" s="98"/>
      <c r="AN58" s="101"/>
      <c r="AO58" s="98"/>
      <c r="AP58" s="102"/>
      <c r="AQ58" s="98"/>
      <c r="AR58" s="98"/>
      <c r="AS58" s="98"/>
      <c r="AT58" s="98"/>
      <c r="AU58" s="98"/>
      <c r="AV58" s="98"/>
      <c r="AW58" s="98"/>
      <c r="AX58" s="101"/>
      <c r="AY58" s="98"/>
      <c r="AZ58" s="102"/>
      <c r="BA58" s="98"/>
      <c r="BB58" s="98"/>
      <c r="BC58" s="98"/>
      <c r="BD58" s="98"/>
      <c r="BE58" s="98"/>
      <c r="BF58" s="98"/>
      <c r="BG58" s="98"/>
      <c r="BH58" s="101"/>
      <c r="BI58" s="98"/>
      <c r="BJ58" s="102"/>
      <c r="BK58" s="98"/>
      <c r="BL58" s="98"/>
      <c r="BM58" s="98"/>
      <c r="BN58" s="98"/>
      <c r="BO58" s="98"/>
      <c r="BP58" s="98"/>
      <c r="BQ58" s="98"/>
      <c r="BR58" s="101"/>
      <c r="BT58" s="73"/>
    </row>
    <row r="59" spans="2:72" s="73" customFormat="1" ht="9" customHeight="1" x14ac:dyDescent="0.25">
      <c r="B59" s="82"/>
      <c r="C59" s="81"/>
      <c r="D59" s="81"/>
      <c r="E59" s="81"/>
      <c r="F59" s="81"/>
      <c r="G59" s="81"/>
      <c r="H59" s="81"/>
      <c r="I59" s="81"/>
      <c r="J59" s="83"/>
      <c r="K59" s="81"/>
      <c r="L59" s="82"/>
      <c r="M59" s="81"/>
      <c r="N59" s="81"/>
      <c r="O59" s="81"/>
      <c r="P59" s="81"/>
      <c r="Q59" s="81"/>
      <c r="R59" s="81"/>
      <c r="S59" s="81"/>
      <c r="T59" s="83"/>
      <c r="U59" s="81"/>
      <c r="V59" s="82"/>
      <c r="W59" s="81"/>
      <c r="X59" s="81"/>
      <c r="Y59" s="81"/>
      <c r="Z59" s="81"/>
      <c r="AA59" s="81"/>
      <c r="AB59" s="81"/>
      <c r="AC59" s="81"/>
      <c r="AD59" s="83"/>
      <c r="AE59" s="81"/>
      <c r="AF59" s="82"/>
      <c r="AG59" s="81"/>
      <c r="AH59" s="81"/>
      <c r="AI59" s="81"/>
      <c r="AJ59" s="81"/>
      <c r="AK59" s="81"/>
      <c r="AL59" s="81"/>
      <c r="AM59" s="81"/>
      <c r="AN59" s="83"/>
      <c r="AO59" s="81"/>
      <c r="AP59" s="82"/>
      <c r="AQ59" s="81"/>
      <c r="AR59" s="81"/>
      <c r="AS59" s="81"/>
      <c r="AT59" s="81"/>
      <c r="AU59" s="81"/>
      <c r="AV59" s="81"/>
      <c r="AW59" s="81"/>
      <c r="AX59" s="83"/>
      <c r="AY59" s="81"/>
      <c r="AZ59" s="82"/>
      <c r="BA59" s="81"/>
      <c r="BB59" s="81"/>
      <c r="BC59" s="81"/>
      <c r="BD59" s="81"/>
      <c r="BE59" s="81"/>
      <c r="BF59" s="81"/>
      <c r="BG59" s="81"/>
      <c r="BH59" s="83"/>
      <c r="BI59" s="81"/>
      <c r="BJ59" s="85"/>
      <c r="BK59" s="86"/>
      <c r="BL59" s="86"/>
      <c r="BM59" s="86"/>
      <c r="BN59" s="86"/>
      <c r="BO59" s="86"/>
      <c r="BP59" s="86"/>
      <c r="BQ59" s="86"/>
      <c r="BR59" s="87"/>
    </row>
    <row r="60" spans="2:72" s="73" customFormat="1" ht="9" customHeight="1" x14ac:dyDescent="0.25">
      <c r="B60" s="454" t="s">
        <v>317</v>
      </c>
      <c r="C60" s="454"/>
      <c r="D60" s="454"/>
      <c r="E60" s="454"/>
      <c r="F60" s="454"/>
      <c r="G60" s="453">
        <f>CEILING(3647*B3,1)</f>
        <v>6930</v>
      </c>
      <c r="H60" s="453"/>
      <c r="I60" s="453"/>
      <c r="J60" s="453"/>
      <c r="K60" s="75"/>
      <c r="L60" s="454" t="s">
        <v>317</v>
      </c>
      <c r="M60" s="454"/>
      <c r="N60" s="454"/>
      <c r="O60" s="454"/>
      <c r="P60" s="454"/>
      <c r="Q60" s="453">
        <f>CEILING(4298*B3,1)</f>
        <v>8167</v>
      </c>
      <c r="R60" s="453"/>
      <c r="S60" s="453"/>
      <c r="T60" s="453"/>
      <c r="U60" s="75"/>
      <c r="V60" s="454" t="s">
        <v>317</v>
      </c>
      <c r="W60" s="454"/>
      <c r="X60" s="454"/>
      <c r="Y60" s="454"/>
      <c r="Z60" s="454"/>
      <c r="AA60" s="453">
        <f>CEILING(5294*B3,1)</f>
        <v>10059</v>
      </c>
      <c r="AB60" s="453"/>
      <c r="AC60" s="453"/>
      <c r="AD60" s="453"/>
      <c r="AE60" s="75"/>
      <c r="AF60" s="454" t="s">
        <v>317</v>
      </c>
      <c r="AG60" s="454"/>
      <c r="AH60" s="454"/>
      <c r="AI60" s="454"/>
      <c r="AJ60" s="454"/>
      <c r="AK60" s="453">
        <f>CEILING(5150*B3,1)</f>
        <v>9785</v>
      </c>
      <c r="AL60" s="453"/>
      <c r="AM60" s="453"/>
      <c r="AN60" s="453"/>
      <c r="AO60" s="75"/>
      <c r="AP60" s="454" t="s">
        <v>317</v>
      </c>
      <c r="AQ60" s="454"/>
      <c r="AR60" s="454"/>
      <c r="AS60" s="454"/>
      <c r="AT60" s="454"/>
      <c r="AU60" s="453">
        <f>CEILING(5679*B3,1)</f>
        <v>10791</v>
      </c>
      <c r="AV60" s="453"/>
      <c r="AW60" s="453"/>
      <c r="AX60" s="453"/>
      <c r="AY60" s="75"/>
      <c r="AZ60" s="454" t="s">
        <v>317</v>
      </c>
      <c r="BA60" s="454"/>
      <c r="BB60" s="454"/>
      <c r="BC60" s="454"/>
      <c r="BD60" s="454"/>
      <c r="BE60" s="453">
        <f>CEILING(6338*B3,1)</f>
        <v>12043</v>
      </c>
      <c r="BF60" s="453"/>
      <c r="BG60" s="453"/>
      <c r="BH60" s="453"/>
      <c r="BI60" s="76"/>
      <c r="BJ60" s="77"/>
      <c r="BK60" s="78"/>
      <c r="BL60" s="78"/>
      <c r="BM60" s="78"/>
      <c r="BN60" s="78"/>
      <c r="BO60" s="78"/>
      <c r="BP60" s="78"/>
      <c r="BQ60" s="78"/>
      <c r="BR60" s="79"/>
    </row>
    <row r="61" spans="2:72" s="73" customFormat="1" ht="9" customHeight="1" x14ac:dyDescent="0.25">
      <c r="B61" s="454" t="s">
        <v>318</v>
      </c>
      <c r="C61" s="454"/>
      <c r="D61" s="454"/>
      <c r="E61" s="454"/>
      <c r="F61" s="454"/>
      <c r="G61" s="453">
        <f>CEILING(3834*B3,1)</f>
        <v>7285</v>
      </c>
      <c r="H61" s="453"/>
      <c r="I61" s="453"/>
      <c r="J61" s="453"/>
      <c r="K61" s="75"/>
      <c r="L61" s="454" t="s">
        <v>318</v>
      </c>
      <c r="M61" s="454"/>
      <c r="N61" s="454"/>
      <c r="O61" s="454"/>
      <c r="P61" s="454"/>
      <c r="Q61" s="453">
        <f>CEILING(4689*B3,1)</f>
        <v>8910</v>
      </c>
      <c r="R61" s="453"/>
      <c r="S61" s="453"/>
      <c r="T61" s="453"/>
      <c r="U61" s="75"/>
      <c r="V61" s="454" t="s">
        <v>318</v>
      </c>
      <c r="W61" s="454"/>
      <c r="X61" s="454"/>
      <c r="Y61" s="454"/>
      <c r="Z61" s="454"/>
      <c r="AA61" s="453">
        <f>CEILING(5540*B3,1)</f>
        <v>10526</v>
      </c>
      <c r="AB61" s="453"/>
      <c r="AC61" s="453"/>
      <c r="AD61" s="453"/>
      <c r="AE61" s="75"/>
      <c r="AF61" s="454" t="s">
        <v>318</v>
      </c>
      <c r="AG61" s="454"/>
      <c r="AH61" s="454"/>
      <c r="AI61" s="454"/>
      <c r="AJ61" s="454"/>
      <c r="AK61" s="453">
        <f>CEILING(5597*B3,1)</f>
        <v>10635</v>
      </c>
      <c r="AL61" s="453"/>
      <c r="AM61" s="453"/>
      <c r="AN61" s="453"/>
      <c r="AO61" s="75"/>
      <c r="AP61" s="454" t="s">
        <v>318</v>
      </c>
      <c r="AQ61" s="454"/>
      <c r="AR61" s="454"/>
      <c r="AS61" s="454"/>
      <c r="AT61" s="454"/>
      <c r="AU61" s="453">
        <f>CEILING(5866*B3,1)</f>
        <v>11146</v>
      </c>
      <c r="AV61" s="453"/>
      <c r="AW61" s="453"/>
      <c r="AX61" s="453"/>
      <c r="AY61" s="75"/>
      <c r="AZ61" s="454" t="s">
        <v>318</v>
      </c>
      <c r="BA61" s="454"/>
      <c r="BB61" s="454"/>
      <c r="BC61" s="454"/>
      <c r="BD61" s="454"/>
      <c r="BE61" s="453">
        <f>CEILING(6949*B3,1)</f>
        <v>13204</v>
      </c>
      <c r="BF61" s="453"/>
      <c r="BG61" s="453"/>
      <c r="BH61" s="453"/>
      <c r="BI61" s="76"/>
      <c r="BJ61" s="454" t="s">
        <v>318</v>
      </c>
      <c r="BK61" s="454"/>
      <c r="BL61" s="454"/>
      <c r="BM61" s="454"/>
      <c r="BN61" s="454"/>
      <c r="BO61" s="453">
        <f>CEILING(6666*B3,1)</f>
        <v>12666</v>
      </c>
      <c r="BP61" s="453"/>
      <c r="BQ61" s="453"/>
      <c r="BR61" s="453"/>
    </row>
    <row r="62" spans="2:72" s="73" customFormat="1" ht="1.5" customHeight="1" x14ac:dyDescent="0.25">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row>
    <row r="63" spans="2:72" s="73" customFormat="1" ht="9" customHeight="1" x14ac:dyDescent="0.25">
      <c r="B63" s="464" t="s">
        <v>319</v>
      </c>
      <c r="C63" s="465"/>
      <c r="D63" s="466"/>
      <c r="E63" s="467" t="s">
        <v>310</v>
      </c>
      <c r="F63" s="462"/>
      <c r="G63" s="462"/>
      <c r="H63" s="462"/>
      <c r="I63" s="462"/>
      <c r="J63" s="463"/>
      <c r="K63" s="81"/>
      <c r="L63" s="464" t="s">
        <v>320</v>
      </c>
      <c r="M63" s="465"/>
      <c r="N63" s="466"/>
      <c r="O63" s="467" t="s">
        <v>310</v>
      </c>
      <c r="P63" s="462"/>
      <c r="Q63" s="462"/>
      <c r="R63" s="462"/>
      <c r="S63" s="462"/>
      <c r="T63" s="463"/>
      <c r="U63" s="81"/>
      <c r="V63" s="464" t="s">
        <v>321</v>
      </c>
      <c r="W63" s="465"/>
      <c r="X63" s="466"/>
      <c r="Y63" s="467" t="s">
        <v>310</v>
      </c>
      <c r="Z63" s="462"/>
      <c r="AA63" s="462"/>
      <c r="AB63" s="462"/>
      <c r="AC63" s="462"/>
      <c r="AD63" s="463"/>
      <c r="AE63" s="81"/>
      <c r="AF63" s="464" t="s">
        <v>322</v>
      </c>
      <c r="AG63" s="465"/>
      <c r="AH63" s="466"/>
      <c r="AI63" s="467" t="s">
        <v>310</v>
      </c>
      <c r="AJ63" s="462"/>
      <c r="AK63" s="462"/>
      <c r="AL63" s="462"/>
      <c r="AM63" s="462"/>
      <c r="AN63" s="463"/>
      <c r="AO63" s="81"/>
      <c r="AP63" s="464" t="s">
        <v>323</v>
      </c>
      <c r="AQ63" s="465"/>
      <c r="AR63" s="466"/>
      <c r="AS63" s="467" t="s">
        <v>310</v>
      </c>
      <c r="AT63" s="462"/>
      <c r="AU63" s="462"/>
      <c r="AV63" s="462"/>
      <c r="AW63" s="462"/>
      <c r="AX63" s="463"/>
      <c r="AY63" s="81"/>
      <c r="AZ63" s="464" t="s">
        <v>324</v>
      </c>
      <c r="BA63" s="465"/>
      <c r="BB63" s="466"/>
      <c r="BC63" s="467" t="s">
        <v>310</v>
      </c>
      <c r="BD63" s="462"/>
      <c r="BE63" s="462"/>
      <c r="BF63" s="462"/>
      <c r="BG63" s="462"/>
      <c r="BH63" s="463"/>
      <c r="BI63" s="98"/>
      <c r="BJ63" s="464" t="s">
        <v>325</v>
      </c>
      <c r="BK63" s="465"/>
      <c r="BL63" s="466"/>
      <c r="BM63" s="467" t="s">
        <v>310</v>
      </c>
      <c r="BN63" s="462"/>
      <c r="BO63" s="462"/>
      <c r="BP63" s="462"/>
      <c r="BQ63" s="462"/>
      <c r="BR63" s="463"/>
    </row>
    <row r="64" spans="2:72" s="73" customFormat="1" ht="9" customHeight="1" x14ac:dyDescent="0.25">
      <c r="B64" s="459" t="s">
        <v>326</v>
      </c>
      <c r="C64" s="460"/>
      <c r="D64" s="460"/>
      <c r="E64" s="460"/>
      <c r="F64" s="460"/>
      <c r="G64" s="460"/>
      <c r="H64" s="460"/>
      <c r="I64" s="460"/>
      <c r="J64" s="461"/>
      <c r="K64" s="88"/>
      <c r="L64" s="459" t="s">
        <v>326</v>
      </c>
      <c r="M64" s="460"/>
      <c r="N64" s="460"/>
      <c r="O64" s="460"/>
      <c r="P64" s="460"/>
      <c r="Q64" s="460"/>
      <c r="R64" s="460"/>
      <c r="S64" s="460"/>
      <c r="T64" s="461"/>
      <c r="U64" s="88"/>
      <c r="V64" s="459" t="s">
        <v>326</v>
      </c>
      <c r="W64" s="460"/>
      <c r="X64" s="460"/>
      <c r="Y64" s="460"/>
      <c r="Z64" s="460"/>
      <c r="AA64" s="460"/>
      <c r="AB64" s="460"/>
      <c r="AC64" s="460"/>
      <c r="AD64" s="461"/>
      <c r="AE64" s="88"/>
      <c r="AF64" s="459" t="s">
        <v>326</v>
      </c>
      <c r="AG64" s="460"/>
      <c r="AH64" s="460"/>
      <c r="AI64" s="460"/>
      <c r="AJ64" s="460"/>
      <c r="AK64" s="460"/>
      <c r="AL64" s="460"/>
      <c r="AM64" s="460"/>
      <c r="AN64" s="461"/>
      <c r="AO64" s="88"/>
      <c r="AP64" s="459" t="s">
        <v>326</v>
      </c>
      <c r="AQ64" s="460"/>
      <c r="AR64" s="460"/>
      <c r="AS64" s="460"/>
      <c r="AT64" s="460"/>
      <c r="AU64" s="460"/>
      <c r="AV64" s="460"/>
      <c r="AW64" s="460"/>
      <c r="AX64" s="461"/>
      <c r="AY64" s="81"/>
      <c r="AZ64" s="459" t="s">
        <v>326</v>
      </c>
      <c r="BA64" s="460"/>
      <c r="BB64" s="460"/>
      <c r="BC64" s="460"/>
      <c r="BD64" s="460"/>
      <c r="BE64" s="460"/>
      <c r="BF64" s="460"/>
      <c r="BG64" s="460"/>
      <c r="BH64" s="461"/>
      <c r="BI64" s="98"/>
      <c r="BJ64" s="459" t="s">
        <v>326</v>
      </c>
      <c r="BK64" s="460"/>
      <c r="BL64" s="460"/>
      <c r="BM64" s="460"/>
      <c r="BN64" s="460"/>
      <c r="BO64" s="460"/>
      <c r="BP64" s="460"/>
      <c r="BQ64" s="460"/>
      <c r="BR64" s="461"/>
      <c r="BT64" s="84"/>
    </row>
    <row r="65" spans="2:80" s="73" customFormat="1" ht="9" customHeight="1" x14ac:dyDescent="0.25">
      <c r="B65" s="94"/>
      <c r="C65" s="88"/>
      <c r="D65" s="88"/>
      <c r="E65" s="88"/>
      <c r="F65" s="88"/>
      <c r="G65" s="88"/>
      <c r="H65" s="88"/>
      <c r="I65" s="88"/>
      <c r="J65" s="89"/>
      <c r="K65" s="88"/>
      <c r="L65" s="94"/>
      <c r="M65" s="88"/>
      <c r="N65" s="88"/>
      <c r="O65" s="88"/>
      <c r="P65" s="88"/>
      <c r="Q65" s="88"/>
      <c r="R65" s="88"/>
      <c r="S65" s="88"/>
      <c r="T65" s="89"/>
      <c r="U65" s="88"/>
      <c r="V65" s="94"/>
      <c r="W65" s="88"/>
      <c r="X65" s="88"/>
      <c r="Y65" s="88"/>
      <c r="Z65" s="88"/>
      <c r="AA65" s="88"/>
      <c r="AB65" s="88"/>
      <c r="AC65" s="88"/>
      <c r="AD65" s="89"/>
      <c r="AE65" s="88"/>
      <c r="AF65" s="94"/>
      <c r="AG65" s="88"/>
      <c r="AH65" s="88"/>
      <c r="AI65" s="88"/>
      <c r="AJ65" s="88"/>
      <c r="AK65" s="88"/>
      <c r="AL65" s="88"/>
      <c r="AM65" s="88"/>
      <c r="AN65" s="89"/>
      <c r="AO65" s="88"/>
      <c r="AP65" s="94"/>
      <c r="AQ65" s="88"/>
      <c r="AR65" s="88"/>
      <c r="AS65" s="88"/>
      <c r="AT65" s="88"/>
      <c r="AU65" s="88"/>
      <c r="AV65" s="88"/>
      <c r="AW65" s="88"/>
      <c r="AX65" s="89"/>
      <c r="AY65" s="81"/>
      <c r="AZ65" s="85"/>
      <c r="BA65" s="86"/>
      <c r="BB65" s="86"/>
      <c r="BC65" s="88"/>
      <c r="BD65" s="88"/>
      <c r="BE65" s="88"/>
      <c r="BF65" s="88"/>
      <c r="BG65" s="88"/>
      <c r="BH65" s="89"/>
      <c r="BI65" s="98"/>
      <c r="BJ65" s="85"/>
      <c r="BK65" s="86"/>
      <c r="BL65" s="86"/>
      <c r="BM65" s="88"/>
      <c r="BN65" s="88"/>
      <c r="BO65" s="88"/>
      <c r="BP65" s="88"/>
      <c r="BQ65" s="88"/>
      <c r="BR65" s="89"/>
    </row>
    <row r="66" spans="2:80" s="73" customFormat="1" ht="9" customHeight="1" x14ac:dyDescent="0.25">
      <c r="B66" s="94"/>
      <c r="C66" s="88"/>
      <c r="D66" s="88"/>
      <c r="E66" s="88"/>
      <c r="F66" s="88"/>
      <c r="G66" s="88"/>
      <c r="H66" s="88"/>
      <c r="I66" s="88"/>
      <c r="J66" s="89"/>
      <c r="K66" s="88"/>
      <c r="L66" s="94"/>
      <c r="M66" s="88"/>
      <c r="N66" s="88"/>
      <c r="O66" s="88"/>
      <c r="P66" s="88"/>
      <c r="Q66" s="88"/>
      <c r="R66" s="88"/>
      <c r="S66" s="88"/>
      <c r="T66" s="89"/>
      <c r="U66" s="88"/>
      <c r="V66" s="94"/>
      <c r="W66" s="88"/>
      <c r="X66" s="88"/>
      <c r="Y66" s="88"/>
      <c r="Z66" s="88"/>
      <c r="AA66" s="88"/>
      <c r="AB66" s="88"/>
      <c r="AC66" s="88"/>
      <c r="AD66" s="89"/>
      <c r="AE66" s="88"/>
      <c r="AF66" s="94"/>
      <c r="AG66" s="88"/>
      <c r="AH66" s="88"/>
      <c r="AI66" s="88"/>
      <c r="AJ66" s="88"/>
      <c r="AK66" s="88"/>
      <c r="AL66" s="88"/>
      <c r="AM66" s="88"/>
      <c r="AN66" s="89"/>
      <c r="AO66" s="88"/>
      <c r="AP66" s="94"/>
      <c r="AQ66" s="88"/>
      <c r="AR66" s="88"/>
      <c r="AS66" s="88"/>
      <c r="AT66" s="88"/>
      <c r="AU66" s="88"/>
      <c r="AV66" s="88"/>
      <c r="AW66" s="88"/>
      <c r="AX66" s="89"/>
      <c r="AY66" s="81"/>
      <c r="AZ66" s="85"/>
      <c r="BA66" s="86"/>
      <c r="BB66" s="86"/>
      <c r="BC66" s="86"/>
      <c r="BD66" s="86"/>
      <c r="BE66" s="86"/>
      <c r="BF66" s="86"/>
      <c r="BG66" s="86"/>
      <c r="BH66" s="87"/>
      <c r="BI66" s="98"/>
      <c r="BJ66" s="94"/>
      <c r="BK66" s="88"/>
      <c r="BL66" s="88"/>
      <c r="BM66" s="88"/>
      <c r="BN66" s="88"/>
      <c r="BO66" s="88"/>
      <c r="BP66" s="88"/>
      <c r="BQ66" s="88"/>
      <c r="BR66" s="89"/>
    </row>
    <row r="67" spans="2:80" s="73" customFormat="1" ht="9" customHeight="1" x14ac:dyDescent="0.25">
      <c r="B67" s="82"/>
      <c r="C67" s="81"/>
      <c r="D67" s="81"/>
      <c r="E67" s="81"/>
      <c r="F67" s="81"/>
      <c r="G67" s="81"/>
      <c r="H67" s="81"/>
      <c r="I67" s="81"/>
      <c r="J67" s="83"/>
      <c r="K67" s="81"/>
      <c r="L67" s="82"/>
      <c r="M67" s="81"/>
      <c r="N67" s="81"/>
      <c r="O67" s="81"/>
      <c r="P67" s="81"/>
      <c r="Q67" s="81"/>
      <c r="R67" s="81"/>
      <c r="S67" s="81"/>
      <c r="T67" s="83"/>
      <c r="U67" s="81"/>
      <c r="V67" s="82"/>
      <c r="W67" s="81"/>
      <c r="X67" s="81"/>
      <c r="Y67" s="81"/>
      <c r="Z67" s="81"/>
      <c r="AA67" s="81"/>
      <c r="AB67" s="81"/>
      <c r="AC67" s="81"/>
      <c r="AD67" s="83"/>
      <c r="AE67" s="81"/>
      <c r="AF67" s="82"/>
      <c r="AG67" s="81"/>
      <c r="AH67" s="81"/>
      <c r="AI67" s="81"/>
      <c r="AJ67" s="81"/>
      <c r="AK67" s="81"/>
      <c r="AL67" s="81"/>
      <c r="AM67" s="81"/>
      <c r="AN67" s="83"/>
      <c r="AO67" s="81"/>
      <c r="AP67" s="82"/>
      <c r="AQ67" s="81"/>
      <c r="AR67" s="81"/>
      <c r="AS67" s="81"/>
      <c r="AT67" s="81"/>
      <c r="AU67" s="81"/>
      <c r="AV67" s="81"/>
      <c r="AW67" s="81"/>
      <c r="AX67" s="83"/>
      <c r="AY67" s="81"/>
      <c r="AZ67" s="85"/>
      <c r="BA67" s="86"/>
      <c r="BB67" s="86"/>
      <c r="BC67" s="86"/>
      <c r="BD67" s="86"/>
      <c r="BE67" s="86"/>
      <c r="BF67" s="86"/>
      <c r="BG67" s="86"/>
      <c r="BH67" s="87"/>
      <c r="BI67" s="98"/>
      <c r="BJ67" s="85"/>
      <c r="BK67" s="86"/>
      <c r="BL67" s="86"/>
      <c r="BM67" s="86"/>
      <c r="BN67" s="86"/>
      <c r="BO67" s="86"/>
      <c r="BP67" s="86"/>
      <c r="BQ67" s="86"/>
      <c r="BR67" s="87"/>
    </row>
    <row r="68" spans="2:80" s="73" customFormat="1" ht="9" customHeight="1" x14ac:dyDescent="0.25">
      <c r="B68" s="82"/>
      <c r="C68" s="81"/>
      <c r="D68" s="81"/>
      <c r="E68" s="81"/>
      <c r="F68" s="81"/>
      <c r="G68" s="81"/>
      <c r="H68" s="81"/>
      <c r="I68" s="81"/>
      <c r="J68" s="83"/>
      <c r="K68" s="81"/>
      <c r="L68" s="82"/>
      <c r="M68" s="81"/>
      <c r="N68" s="81"/>
      <c r="O68" s="81"/>
      <c r="P68" s="81"/>
      <c r="Q68" s="81"/>
      <c r="R68" s="81"/>
      <c r="S68" s="81"/>
      <c r="T68" s="83"/>
      <c r="U68" s="81"/>
      <c r="V68" s="82"/>
      <c r="W68" s="81"/>
      <c r="X68" s="81"/>
      <c r="Y68" s="81"/>
      <c r="Z68" s="81"/>
      <c r="AA68" s="81"/>
      <c r="AB68" s="81"/>
      <c r="AC68" s="81"/>
      <c r="AD68" s="83"/>
      <c r="AE68" s="81"/>
      <c r="AF68" s="82"/>
      <c r="AG68" s="81"/>
      <c r="AH68" s="81"/>
      <c r="AI68" s="81"/>
      <c r="AJ68" s="81"/>
      <c r="AK68" s="81"/>
      <c r="AL68" s="81"/>
      <c r="AM68" s="81"/>
      <c r="AN68" s="83"/>
      <c r="AO68" s="81"/>
      <c r="AP68" s="82"/>
      <c r="AQ68" s="81"/>
      <c r="AR68" s="81"/>
      <c r="AS68" s="81"/>
      <c r="AT68" s="81"/>
      <c r="AU68" s="81"/>
      <c r="AV68" s="81"/>
      <c r="AW68" s="81"/>
      <c r="AX68" s="83"/>
      <c r="AY68" s="81"/>
      <c r="AZ68" s="85"/>
      <c r="BA68" s="86"/>
      <c r="BB68" s="86"/>
      <c r="BC68" s="86"/>
      <c r="BD68" s="86"/>
      <c r="BE68" s="86"/>
      <c r="BF68" s="86"/>
      <c r="BG68" s="86"/>
      <c r="BH68" s="87"/>
      <c r="BI68" s="98"/>
      <c r="BJ68" s="85"/>
      <c r="BK68" s="86"/>
      <c r="BL68" s="86"/>
      <c r="BM68" s="86"/>
      <c r="BN68" s="86"/>
      <c r="BO68" s="86"/>
      <c r="BP68" s="86"/>
      <c r="BQ68" s="86"/>
      <c r="BR68" s="87"/>
    </row>
    <row r="69" spans="2:80" s="73" customFormat="1" ht="9" customHeight="1" x14ac:dyDescent="0.25">
      <c r="B69" s="82"/>
      <c r="C69" s="81"/>
      <c r="D69" s="81"/>
      <c r="E69" s="81"/>
      <c r="F69" s="81"/>
      <c r="G69" s="81"/>
      <c r="H69" s="81"/>
      <c r="I69" s="81"/>
      <c r="J69" s="83"/>
      <c r="K69" s="81"/>
      <c r="L69" s="82"/>
      <c r="M69" s="81"/>
      <c r="N69" s="81"/>
      <c r="O69" s="81"/>
      <c r="P69" s="81"/>
      <c r="Q69" s="81"/>
      <c r="R69" s="81"/>
      <c r="S69" s="81"/>
      <c r="T69" s="83"/>
      <c r="U69" s="81"/>
      <c r="V69" s="82"/>
      <c r="W69" s="81"/>
      <c r="X69" s="81"/>
      <c r="Y69" s="81"/>
      <c r="Z69" s="81"/>
      <c r="AA69" s="81"/>
      <c r="AB69" s="81"/>
      <c r="AC69" s="81"/>
      <c r="AD69" s="83"/>
      <c r="AE69" s="81"/>
      <c r="AF69" s="82"/>
      <c r="AG69" s="81"/>
      <c r="AH69" s="81"/>
      <c r="AI69" s="81"/>
      <c r="AJ69" s="81"/>
      <c r="AK69" s="81"/>
      <c r="AL69" s="81"/>
      <c r="AM69" s="81"/>
      <c r="AN69" s="83"/>
      <c r="AO69" s="81"/>
      <c r="AP69" s="82"/>
      <c r="AQ69" s="81"/>
      <c r="AR69" s="81"/>
      <c r="AS69" s="81"/>
      <c r="AT69" s="81"/>
      <c r="AU69" s="81"/>
      <c r="AV69" s="81"/>
      <c r="AW69" s="81"/>
      <c r="AX69" s="83"/>
      <c r="AY69" s="81"/>
      <c r="AZ69" s="85"/>
      <c r="BA69" s="86"/>
      <c r="BB69" s="86"/>
      <c r="BC69" s="86"/>
      <c r="BD69" s="86"/>
      <c r="BE69" s="86"/>
      <c r="BF69" s="86"/>
      <c r="BG69" s="86"/>
      <c r="BH69" s="87"/>
      <c r="BI69" s="98"/>
      <c r="BJ69" s="85"/>
      <c r="BK69" s="86"/>
      <c r="BL69" s="86"/>
      <c r="BM69" s="86"/>
      <c r="BN69" s="86"/>
      <c r="BO69" s="86"/>
      <c r="BP69" s="86"/>
      <c r="BQ69" s="86"/>
      <c r="BR69" s="87"/>
    </row>
    <row r="70" spans="2:80" s="73" customFormat="1" ht="9" customHeight="1" x14ac:dyDescent="0.25">
      <c r="B70" s="82"/>
      <c r="C70" s="81"/>
      <c r="D70" s="81"/>
      <c r="E70" s="81"/>
      <c r="F70" s="81"/>
      <c r="G70" s="81"/>
      <c r="H70" s="81"/>
      <c r="I70" s="81"/>
      <c r="J70" s="83"/>
      <c r="K70" s="81"/>
      <c r="L70" s="82"/>
      <c r="M70" s="81"/>
      <c r="N70" s="81"/>
      <c r="O70" s="81"/>
      <c r="P70" s="81"/>
      <c r="Q70" s="81"/>
      <c r="R70" s="81"/>
      <c r="S70" s="81"/>
      <c r="T70" s="83"/>
      <c r="U70" s="81"/>
      <c r="V70" s="82"/>
      <c r="W70" s="81"/>
      <c r="X70" s="81"/>
      <c r="Y70" s="81"/>
      <c r="Z70" s="81"/>
      <c r="AA70" s="81"/>
      <c r="AB70" s="81"/>
      <c r="AC70" s="81"/>
      <c r="AD70" s="83"/>
      <c r="AE70" s="81"/>
      <c r="AF70" s="82"/>
      <c r="AG70" s="81"/>
      <c r="AH70" s="81"/>
      <c r="AI70" s="81"/>
      <c r="AJ70" s="81"/>
      <c r="AK70" s="81"/>
      <c r="AL70" s="81"/>
      <c r="AM70" s="81"/>
      <c r="AN70" s="83"/>
      <c r="AO70" s="81"/>
      <c r="AP70" s="82"/>
      <c r="AQ70" s="81"/>
      <c r="AR70" s="81"/>
      <c r="AS70" s="81"/>
      <c r="AT70" s="81"/>
      <c r="AU70" s="81"/>
      <c r="AV70" s="81"/>
      <c r="AW70" s="81"/>
      <c r="AX70" s="83"/>
      <c r="AY70" s="81"/>
      <c r="AZ70" s="85"/>
      <c r="BA70" s="86"/>
      <c r="BB70" s="86"/>
      <c r="BC70" s="86"/>
      <c r="BD70" s="86"/>
      <c r="BE70" s="86"/>
      <c r="BF70" s="86"/>
      <c r="BG70" s="86"/>
      <c r="BH70" s="87"/>
      <c r="BI70" s="98"/>
      <c r="BJ70" s="85"/>
      <c r="BK70" s="86"/>
      <c r="BL70" s="86"/>
      <c r="BM70" s="86"/>
      <c r="BN70" s="86"/>
      <c r="BO70" s="86"/>
      <c r="BP70" s="86"/>
      <c r="BQ70" s="86"/>
      <c r="BR70" s="87"/>
    </row>
    <row r="71" spans="2:80" s="73" customFormat="1" ht="9" customHeight="1" x14ac:dyDescent="0.25">
      <c r="B71" s="82"/>
      <c r="C71" s="81"/>
      <c r="D71" s="81"/>
      <c r="E71" s="81"/>
      <c r="F71" s="81"/>
      <c r="G71" s="81"/>
      <c r="H71" s="81"/>
      <c r="I71" s="81"/>
      <c r="J71" s="83"/>
      <c r="K71" s="81"/>
      <c r="L71" s="82"/>
      <c r="M71" s="81"/>
      <c r="N71" s="81"/>
      <c r="O71" s="81"/>
      <c r="P71" s="81"/>
      <c r="Q71" s="81"/>
      <c r="R71" s="81"/>
      <c r="S71" s="81"/>
      <c r="T71" s="83"/>
      <c r="U71" s="81"/>
      <c r="V71" s="82"/>
      <c r="W71" s="81"/>
      <c r="X71" s="81"/>
      <c r="Y71" s="81"/>
      <c r="Z71" s="81"/>
      <c r="AA71" s="81"/>
      <c r="AB71" s="81"/>
      <c r="AC71" s="81"/>
      <c r="AD71" s="83"/>
      <c r="AE71" s="81"/>
      <c r="AF71" s="82"/>
      <c r="AG71" s="81"/>
      <c r="AH71" s="81"/>
      <c r="AI71" s="81"/>
      <c r="AJ71" s="81"/>
      <c r="AK71" s="81"/>
      <c r="AL71" s="81"/>
      <c r="AM71" s="81"/>
      <c r="AN71" s="83"/>
      <c r="AO71" s="81"/>
      <c r="AP71" s="82"/>
      <c r="AQ71" s="81"/>
      <c r="AR71" s="81"/>
      <c r="AS71" s="81"/>
      <c r="AT71" s="81"/>
      <c r="AU71" s="81"/>
      <c r="AV71" s="81"/>
      <c r="AW71" s="81"/>
      <c r="AX71" s="83"/>
      <c r="AY71" s="81"/>
      <c r="AZ71" s="85"/>
      <c r="BA71" s="86"/>
      <c r="BB71" s="86"/>
      <c r="BC71" s="86"/>
      <c r="BD71" s="86"/>
      <c r="BE71" s="86"/>
      <c r="BF71" s="86"/>
      <c r="BG71" s="86"/>
      <c r="BH71" s="87"/>
      <c r="BI71" s="98"/>
      <c r="BJ71" s="85"/>
      <c r="BK71" s="86"/>
      <c r="BL71" s="86"/>
      <c r="BM71" s="86"/>
      <c r="BN71" s="86"/>
      <c r="BO71" s="86"/>
      <c r="BP71" s="86"/>
      <c r="BQ71" s="86"/>
      <c r="BR71" s="87"/>
    </row>
    <row r="72" spans="2:80" s="73" customFormat="1" ht="9" customHeight="1" x14ac:dyDescent="0.25">
      <c r="B72" s="82"/>
      <c r="C72" s="81"/>
      <c r="D72" s="81"/>
      <c r="E72" s="81"/>
      <c r="F72" s="81"/>
      <c r="G72" s="81"/>
      <c r="H72" s="81"/>
      <c r="I72" s="81"/>
      <c r="J72" s="83"/>
      <c r="K72" s="81"/>
      <c r="L72" s="82"/>
      <c r="M72" s="81"/>
      <c r="N72" s="81"/>
      <c r="O72" s="81"/>
      <c r="P72" s="81"/>
      <c r="Q72" s="81"/>
      <c r="R72" s="81"/>
      <c r="S72" s="81"/>
      <c r="T72" s="83"/>
      <c r="U72" s="81"/>
      <c r="V72" s="82"/>
      <c r="W72" s="81"/>
      <c r="X72" s="81"/>
      <c r="Y72" s="81"/>
      <c r="Z72" s="81"/>
      <c r="AA72" s="81"/>
      <c r="AB72" s="81"/>
      <c r="AC72" s="81"/>
      <c r="AD72" s="83"/>
      <c r="AE72" s="81"/>
      <c r="AF72" s="82"/>
      <c r="AG72" s="81"/>
      <c r="AH72" s="81"/>
      <c r="AI72" s="81"/>
      <c r="AJ72" s="81"/>
      <c r="AK72" s="81"/>
      <c r="AL72" s="81"/>
      <c r="AM72" s="81"/>
      <c r="AN72" s="83"/>
      <c r="AO72" s="81"/>
      <c r="AP72" s="82"/>
      <c r="AQ72" s="81"/>
      <c r="AR72" s="81"/>
      <c r="AS72" s="81"/>
      <c r="AT72" s="81"/>
      <c r="AU72" s="81"/>
      <c r="AV72" s="81"/>
      <c r="AW72" s="81"/>
      <c r="AX72" s="83"/>
      <c r="AY72" s="81"/>
      <c r="AZ72" s="85"/>
      <c r="BA72" s="86"/>
      <c r="BB72" s="86"/>
      <c r="BC72" s="86"/>
      <c r="BD72" s="86"/>
      <c r="BE72" s="86"/>
      <c r="BF72" s="86"/>
      <c r="BG72" s="86"/>
      <c r="BH72" s="87"/>
      <c r="BI72" s="98"/>
      <c r="BJ72" s="85"/>
      <c r="BK72" s="86"/>
      <c r="BL72" s="86"/>
      <c r="BM72" s="86"/>
      <c r="BN72" s="86"/>
      <c r="BO72" s="86"/>
      <c r="BP72" s="86"/>
      <c r="BQ72" s="86"/>
      <c r="BR72" s="87"/>
    </row>
    <row r="73" spans="2:80" s="73" customFormat="1" ht="9" customHeight="1" x14ac:dyDescent="0.25">
      <c r="B73" s="82"/>
      <c r="C73" s="81"/>
      <c r="D73" s="81"/>
      <c r="E73" s="81"/>
      <c r="F73" s="81"/>
      <c r="G73" s="81"/>
      <c r="H73" s="81"/>
      <c r="I73" s="81"/>
      <c r="J73" s="83"/>
      <c r="K73" s="81"/>
      <c r="L73" s="82"/>
      <c r="M73" s="81"/>
      <c r="N73" s="81"/>
      <c r="O73" s="81"/>
      <c r="P73" s="81"/>
      <c r="Q73" s="81"/>
      <c r="R73" s="81"/>
      <c r="S73" s="81"/>
      <c r="T73" s="83"/>
      <c r="U73" s="81"/>
      <c r="V73" s="82"/>
      <c r="W73" s="81"/>
      <c r="X73" s="81"/>
      <c r="Y73" s="81"/>
      <c r="Z73" s="81"/>
      <c r="AA73" s="81"/>
      <c r="AB73" s="81"/>
      <c r="AC73" s="81"/>
      <c r="AD73" s="83"/>
      <c r="AE73" s="81"/>
      <c r="AF73" s="82"/>
      <c r="AG73" s="81"/>
      <c r="AH73" s="81"/>
      <c r="AI73" s="81"/>
      <c r="AJ73" s="81"/>
      <c r="AK73" s="81"/>
      <c r="AL73" s="81"/>
      <c r="AM73" s="81"/>
      <c r="AN73" s="83"/>
      <c r="AO73" s="81"/>
      <c r="AP73" s="82"/>
      <c r="AQ73" s="81"/>
      <c r="AR73" s="81"/>
      <c r="AS73" s="81"/>
      <c r="AT73" s="81"/>
      <c r="AU73" s="81"/>
      <c r="AV73" s="81"/>
      <c r="AW73" s="81"/>
      <c r="AX73" s="83"/>
      <c r="AY73" s="81"/>
      <c r="AZ73" s="85"/>
      <c r="BA73" s="86"/>
      <c r="BB73" s="86"/>
      <c r="BC73" s="86"/>
      <c r="BD73" s="86"/>
      <c r="BE73" s="86"/>
      <c r="BF73" s="86"/>
      <c r="BG73" s="86"/>
      <c r="BH73" s="87"/>
      <c r="BI73" s="98"/>
      <c r="BJ73" s="85"/>
      <c r="BK73" s="86"/>
      <c r="BL73" s="86"/>
      <c r="BM73" s="86"/>
      <c r="BN73" s="86"/>
      <c r="BO73" s="86"/>
      <c r="BP73" s="86"/>
      <c r="BQ73" s="86"/>
      <c r="BR73" s="87"/>
    </row>
    <row r="74" spans="2:80" s="73" customFormat="1" ht="9" customHeight="1" x14ac:dyDescent="0.25">
      <c r="B74" s="102"/>
      <c r="C74" s="98"/>
      <c r="D74" s="98"/>
      <c r="E74" s="98"/>
      <c r="F74" s="98"/>
      <c r="G74" s="98"/>
      <c r="H74" s="98"/>
      <c r="I74" s="98"/>
      <c r="J74" s="101"/>
      <c r="K74" s="81"/>
      <c r="L74" s="102"/>
      <c r="M74" s="98"/>
      <c r="N74" s="98"/>
      <c r="O74" s="98"/>
      <c r="P74" s="98"/>
      <c r="Q74" s="98"/>
      <c r="R74" s="98"/>
      <c r="S74" s="98"/>
      <c r="T74" s="101"/>
      <c r="U74" s="81"/>
      <c r="V74" s="102"/>
      <c r="W74" s="98"/>
      <c r="X74" s="98"/>
      <c r="Y74" s="98"/>
      <c r="Z74" s="98"/>
      <c r="AA74" s="98"/>
      <c r="AB74" s="98"/>
      <c r="AC74" s="98"/>
      <c r="AD74" s="101"/>
      <c r="AE74" s="81"/>
      <c r="AF74" s="82"/>
      <c r="AG74" s="81"/>
      <c r="AH74" s="81"/>
      <c r="AI74" s="81"/>
      <c r="AJ74" s="81"/>
      <c r="AK74" s="81"/>
      <c r="AL74" s="81"/>
      <c r="AM74" s="81"/>
      <c r="AN74" s="83"/>
      <c r="AO74" s="81"/>
      <c r="AP74" s="82"/>
      <c r="AQ74" s="81"/>
      <c r="AR74" s="81"/>
      <c r="AS74" s="81"/>
      <c r="AT74" s="81"/>
      <c r="AU74" s="81"/>
      <c r="AV74" s="81"/>
      <c r="AW74" s="81"/>
      <c r="AX74" s="83"/>
      <c r="AY74" s="81"/>
      <c r="AZ74" s="85"/>
      <c r="BA74" s="86"/>
      <c r="BB74" s="86"/>
      <c r="BC74" s="86"/>
      <c r="BD74" s="86"/>
      <c r="BE74" s="86"/>
      <c r="BF74" s="86"/>
      <c r="BG74" s="86"/>
      <c r="BH74" s="87"/>
      <c r="BI74" s="98"/>
      <c r="BJ74" s="85"/>
      <c r="BK74" s="86"/>
      <c r="BL74" s="86"/>
      <c r="BM74" s="86"/>
      <c r="BN74" s="86"/>
      <c r="BO74" s="86"/>
      <c r="BP74" s="86"/>
      <c r="BQ74" s="86"/>
      <c r="BR74" s="87"/>
    </row>
    <row r="75" spans="2:80" s="73" customFormat="1" ht="8.25" customHeight="1" x14ac:dyDescent="0.25">
      <c r="B75" s="82"/>
      <c r="C75" s="81"/>
      <c r="D75" s="81"/>
      <c r="E75" s="81"/>
      <c r="F75" s="81"/>
      <c r="G75" s="81"/>
      <c r="H75" s="81"/>
      <c r="I75" s="81"/>
      <c r="J75" s="83"/>
      <c r="K75" s="81"/>
      <c r="L75" s="82"/>
      <c r="M75" s="81"/>
      <c r="N75" s="81"/>
      <c r="O75" s="81"/>
      <c r="P75" s="81"/>
      <c r="Q75" s="81"/>
      <c r="R75" s="81"/>
      <c r="S75" s="81"/>
      <c r="T75" s="83"/>
      <c r="U75" s="81"/>
      <c r="V75" s="82"/>
      <c r="W75" s="81"/>
      <c r="X75" s="81"/>
      <c r="Y75" s="81"/>
      <c r="Z75" s="81"/>
      <c r="AA75" s="81"/>
      <c r="AB75" s="81"/>
      <c r="AC75" s="81"/>
      <c r="AD75" s="83"/>
      <c r="AE75" s="81"/>
      <c r="AF75" s="82"/>
      <c r="AG75" s="81"/>
      <c r="AH75" s="81"/>
      <c r="AI75" s="81"/>
      <c r="AJ75" s="81"/>
      <c r="AK75" s="81"/>
      <c r="AL75" s="81"/>
      <c r="AM75" s="81"/>
      <c r="AN75" s="83"/>
      <c r="AO75" s="81"/>
      <c r="AP75" s="82"/>
      <c r="AQ75" s="81"/>
      <c r="AR75" s="81"/>
      <c r="AS75" s="81"/>
      <c r="AT75" s="81"/>
      <c r="AU75" s="81"/>
      <c r="AV75" s="81"/>
      <c r="AW75" s="81"/>
      <c r="AX75" s="83"/>
      <c r="AY75" s="81"/>
      <c r="AZ75" s="85"/>
      <c r="BA75" s="86"/>
      <c r="BB75" s="86"/>
      <c r="BC75" s="86"/>
      <c r="BD75" s="86"/>
      <c r="BE75" s="86"/>
      <c r="BF75" s="86"/>
      <c r="BG75" s="86"/>
      <c r="BH75" s="87"/>
      <c r="BI75" s="98"/>
      <c r="BJ75" s="85"/>
      <c r="BK75" s="86"/>
      <c r="BL75" s="86"/>
      <c r="BM75" s="86"/>
      <c r="BN75" s="86"/>
      <c r="BO75" s="86"/>
      <c r="BP75" s="86"/>
      <c r="BQ75" s="86"/>
      <c r="BR75" s="87"/>
    </row>
    <row r="76" spans="2:80" s="73" customFormat="1" ht="9" customHeight="1" x14ac:dyDescent="0.25">
      <c r="B76" s="454" t="s">
        <v>327</v>
      </c>
      <c r="C76" s="454"/>
      <c r="D76" s="454"/>
      <c r="E76" s="454"/>
      <c r="F76" s="454"/>
      <c r="G76" s="453">
        <f>CEILING(3876*B3,1)</f>
        <v>7365</v>
      </c>
      <c r="H76" s="453"/>
      <c r="I76" s="453"/>
      <c r="J76" s="453"/>
      <c r="K76" s="75"/>
      <c r="L76" s="454" t="s">
        <v>317</v>
      </c>
      <c r="M76" s="454"/>
      <c r="N76" s="454"/>
      <c r="O76" s="454"/>
      <c r="P76" s="454"/>
      <c r="Q76" s="453">
        <f>CEILING(4324*B3,1)</f>
        <v>8216</v>
      </c>
      <c r="R76" s="453"/>
      <c r="S76" s="453"/>
      <c r="T76" s="453"/>
      <c r="U76" s="75"/>
      <c r="V76" s="454" t="s">
        <v>328</v>
      </c>
      <c r="W76" s="454"/>
      <c r="X76" s="454"/>
      <c r="Y76" s="454"/>
      <c r="Z76" s="454"/>
      <c r="AA76" s="453">
        <f>CEILING(4041*B3,1)</f>
        <v>7678</v>
      </c>
      <c r="AB76" s="453"/>
      <c r="AC76" s="453"/>
      <c r="AD76" s="453"/>
      <c r="AE76" s="75"/>
      <c r="AF76" s="454" t="s">
        <v>329</v>
      </c>
      <c r="AG76" s="454"/>
      <c r="AH76" s="454"/>
      <c r="AI76" s="454"/>
      <c r="AJ76" s="454"/>
      <c r="AK76" s="453">
        <f>CEILING(5895*B3,1)</f>
        <v>11201</v>
      </c>
      <c r="AL76" s="453"/>
      <c r="AM76" s="453"/>
      <c r="AN76" s="453"/>
      <c r="AO76" s="75"/>
      <c r="AP76" s="454" t="s">
        <v>330</v>
      </c>
      <c r="AQ76" s="454"/>
      <c r="AR76" s="454"/>
      <c r="AS76" s="454"/>
      <c r="AT76" s="454"/>
      <c r="AU76" s="453">
        <f>CEILING(5925*B3,1)</f>
        <v>11258</v>
      </c>
      <c r="AV76" s="453"/>
      <c r="AW76" s="453"/>
      <c r="AX76" s="453"/>
      <c r="AY76" s="75"/>
      <c r="AZ76" s="454" t="s">
        <v>329</v>
      </c>
      <c r="BA76" s="454"/>
      <c r="BB76" s="454"/>
      <c r="BC76" s="454"/>
      <c r="BD76" s="454"/>
      <c r="BE76" s="453">
        <f>CEILING(7112*B3,1)</f>
        <v>13513</v>
      </c>
      <c r="BF76" s="453"/>
      <c r="BG76" s="453"/>
      <c r="BH76" s="453"/>
      <c r="BI76" s="75"/>
      <c r="BJ76" s="454" t="s">
        <v>331</v>
      </c>
      <c r="BK76" s="454"/>
      <c r="BL76" s="454"/>
      <c r="BM76" s="454"/>
      <c r="BN76" s="454"/>
      <c r="BO76" s="453">
        <f>CEILING(3740*B3,1)</f>
        <v>7106</v>
      </c>
      <c r="BP76" s="453"/>
      <c r="BQ76" s="453"/>
      <c r="BR76" s="453"/>
    </row>
    <row r="77" spans="2:80" s="73" customFormat="1" ht="9" customHeight="1" x14ac:dyDescent="0.25">
      <c r="B77" s="454" t="s">
        <v>332</v>
      </c>
      <c r="C77" s="454"/>
      <c r="D77" s="454"/>
      <c r="E77" s="454"/>
      <c r="F77" s="454"/>
      <c r="G77" s="453">
        <f>CEILING(4420*B3,1)</f>
        <v>8398</v>
      </c>
      <c r="H77" s="453"/>
      <c r="I77" s="453"/>
      <c r="J77" s="453"/>
      <c r="K77" s="75"/>
      <c r="L77" s="454" t="s">
        <v>318</v>
      </c>
      <c r="M77" s="454"/>
      <c r="N77" s="454"/>
      <c r="O77" s="454"/>
      <c r="P77" s="454"/>
      <c r="Q77" s="453">
        <f>CEILING(4553*B3,1)</f>
        <v>8651</v>
      </c>
      <c r="R77" s="453"/>
      <c r="S77" s="453"/>
      <c r="T77" s="453"/>
      <c r="U77" s="75"/>
      <c r="V77" s="454" t="s">
        <v>333</v>
      </c>
      <c r="W77" s="454"/>
      <c r="X77" s="454"/>
      <c r="Y77" s="454"/>
      <c r="Z77" s="454"/>
      <c r="AA77" s="453">
        <f>CEILING(4635*B3,1)</f>
        <v>8807</v>
      </c>
      <c r="AB77" s="453"/>
      <c r="AC77" s="453"/>
      <c r="AD77" s="453"/>
      <c r="AE77" s="75"/>
      <c r="AF77" s="454" t="s">
        <v>334</v>
      </c>
      <c r="AG77" s="454"/>
      <c r="AH77" s="454"/>
      <c r="AI77" s="454"/>
      <c r="AJ77" s="454"/>
      <c r="AK77" s="453">
        <f>CEILING(6222*B3,1)</f>
        <v>11822</v>
      </c>
      <c r="AL77" s="453"/>
      <c r="AM77" s="453"/>
      <c r="AN77" s="453"/>
      <c r="AO77" s="75"/>
      <c r="AP77" s="454" t="s">
        <v>335</v>
      </c>
      <c r="AQ77" s="454"/>
      <c r="AR77" s="454"/>
      <c r="AS77" s="454"/>
      <c r="AT77" s="454"/>
      <c r="AU77" s="453">
        <f>CEILING(6720*B3,1)</f>
        <v>12768</v>
      </c>
      <c r="AV77" s="453"/>
      <c r="AW77" s="453"/>
      <c r="AX77" s="453"/>
      <c r="AY77" s="75"/>
      <c r="AZ77" s="454" t="s">
        <v>334</v>
      </c>
      <c r="BA77" s="454"/>
      <c r="BB77" s="454"/>
      <c r="BC77" s="454"/>
      <c r="BD77" s="454"/>
      <c r="BE77" s="453">
        <f>CEILING(8780*B3,1)</f>
        <v>16682</v>
      </c>
      <c r="BF77" s="453"/>
      <c r="BG77" s="453"/>
      <c r="BH77" s="453"/>
      <c r="BI77" s="75"/>
      <c r="BJ77" s="454" t="s">
        <v>336</v>
      </c>
      <c r="BK77" s="454"/>
      <c r="BL77" s="454"/>
      <c r="BM77" s="454"/>
      <c r="BN77" s="454"/>
      <c r="BO77" s="453">
        <f>CEILING(4161*B3,1)</f>
        <v>7906</v>
      </c>
      <c r="BP77" s="453"/>
      <c r="BQ77" s="453"/>
      <c r="BR77" s="453"/>
    </row>
    <row r="78" spans="2:80" s="73" customFormat="1" ht="1.5" customHeight="1" x14ac:dyDescent="0.25">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row>
    <row r="79" spans="2:80" s="73" customFormat="1" ht="9" customHeight="1" x14ac:dyDescent="0.25">
      <c r="B79" s="464" t="s">
        <v>337</v>
      </c>
      <c r="C79" s="465"/>
      <c r="D79" s="466"/>
      <c r="E79" s="467" t="s">
        <v>310</v>
      </c>
      <c r="F79" s="462"/>
      <c r="G79" s="462"/>
      <c r="H79" s="462"/>
      <c r="I79" s="462"/>
      <c r="J79" s="463"/>
      <c r="K79" s="81"/>
      <c r="L79" s="464" t="s">
        <v>338</v>
      </c>
      <c r="M79" s="465"/>
      <c r="N79" s="466"/>
      <c r="O79" s="467" t="s">
        <v>310</v>
      </c>
      <c r="P79" s="462"/>
      <c r="Q79" s="462"/>
      <c r="R79" s="462"/>
      <c r="S79" s="462"/>
      <c r="T79" s="463"/>
      <c r="U79" s="81"/>
      <c r="V79" s="464" t="s">
        <v>339</v>
      </c>
      <c r="W79" s="465"/>
      <c r="X79" s="466"/>
      <c r="Y79" s="467" t="s">
        <v>310</v>
      </c>
      <c r="Z79" s="462"/>
      <c r="AA79" s="462"/>
      <c r="AB79" s="462"/>
      <c r="AC79" s="462"/>
      <c r="AD79" s="463"/>
      <c r="AE79" s="81"/>
      <c r="AF79" s="464" t="s">
        <v>340</v>
      </c>
      <c r="AG79" s="465"/>
      <c r="AH79" s="466"/>
      <c r="AI79" s="462" t="s">
        <v>341</v>
      </c>
      <c r="AJ79" s="462"/>
      <c r="AK79" s="462"/>
      <c r="AL79" s="462"/>
      <c r="AM79" s="462"/>
      <c r="AN79" s="463"/>
      <c r="AO79" s="81"/>
      <c r="AP79" s="464" t="s">
        <v>342</v>
      </c>
      <c r="AQ79" s="465"/>
      <c r="AR79" s="466"/>
      <c r="AS79" s="467" t="s">
        <v>310</v>
      </c>
      <c r="AT79" s="462"/>
      <c r="AU79" s="462"/>
      <c r="AV79" s="462"/>
      <c r="AW79" s="462"/>
      <c r="AX79" s="463"/>
      <c r="AY79" s="81"/>
      <c r="AZ79" s="464" t="s">
        <v>343</v>
      </c>
      <c r="BA79" s="465"/>
      <c r="BB79" s="466"/>
      <c r="BC79" s="467" t="s">
        <v>310</v>
      </c>
      <c r="BD79" s="462"/>
      <c r="BE79" s="462"/>
      <c r="BF79" s="462"/>
      <c r="BG79" s="462"/>
      <c r="BH79" s="463"/>
      <c r="BI79" s="98"/>
      <c r="BJ79" s="464" t="s">
        <v>344</v>
      </c>
      <c r="BK79" s="465"/>
      <c r="BL79" s="466"/>
      <c r="BM79" s="467" t="s">
        <v>310</v>
      </c>
      <c r="BN79" s="462"/>
      <c r="BO79" s="462"/>
      <c r="BP79" s="462"/>
      <c r="BQ79" s="462"/>
      <c r="BR79" s="463"/>
      <c r="BT79" s="458"/>
      <c r="BU79" s="458"/>
      <c r="BV79" s="458"/>
      <c r="BW79" s="458"/>
      <c r="BX79" s="458"/>
      <c r="BY79" s="458"/>
      <c r="BZ79" s="458"/>
      <c r="CA79" s="458"/>
      <c r="CB79" s="458"/>
    </row>
    <row r="80" spans="2:80" s="73" customFormat="1" ht="9" customHeight="1" x14ac:dyDescent="0.25">
      <c r="B80" s="459" t="s">
        <v>326</v>
      </c>
      <c r="C80" s="460"/>
      <c r="D80" s="460"/>
      <c r="E80" s="460"/>
      <c r="F80" s="460"/>
      <c r="G80" s="460"/>
      <c r="H80" s="460"/>
      <c r="I80" s="460"/>
      <c r="J80" s="461"/>
      <c r="K80" s="81"/>
      <c r="L80" s="459" t="s">
        <v>326</v>
      </c>
      <c r="M80" s="460"/>
      <c r="N80" s="460"/>
      <c r="O80" s="460"/>
      <c r="P80" s="460"/>
      <c r="Q80" s="460"/>
      <c r="R80" s="460"/>
      <c r="S80" s="460"/>
      <c r="T80" s="461"/>
      <c r="U80" s="81"/>
      <c r="V80" s="459" t="s">
        <v>326</v>
      </c>
      <c r="W80" s="460"/>
      <c r="X80" s="460"/>
      <c r="Y80" s="460"/>
      <c r="Z80" s="460"/>
      <c r="AA80" s="460"/>
      <c r="AB80" s="460"/>
      <c r="AC80" s="460"/>
      <c r="AD80" s="461"/>
      <c r="AE80" s="81"/>
      <c r="AF80" s="459" t="s">
        <v>176</v>
      </c>
      <c r="AG80" s="460"/>
      <c r="AH80" s="460"/>
      <c r="AI80" s="460"/>
      <c r="AJ80" s="460"/>
      <c r="AK80" s="460"/>
      <c r="AL80" s="460"/>
      <c r="AM80" s="460"/>
      <c r="AN80" s="461"/>
      <c r="AO80" s="81"/>
      <c r="AP80" s="459" t="s">
        <v>176</v>
      </c>
      <c r="AQ80" s="460"/>
      <c r="AR80" s="460"/>
      <c r="AS80" s="460"/>
      <c r="AT80" s="460"/>
      <c r="AU80" s="460"/>
      <c r="AV80" s="460"/>
      <c r="AW80" s="460"/>
      <c r="AX80" s="461"/>
      <c r="AY80" s="81"/>
      <c r="AZ80" s="459" t="s">
        <v>176</v>
      </c>
      <c r="BA80" s="460"/>
      <c r="BB80" s="460"/>
      <c r="BC80" s="460"/>
      <c r="BD80" s="460"/>
      <c r="BE80" s="460"/>
      <c r="BF80" s="460"/>
      <c r="BG80" s="460"/>
      <c r="BH80" s="461"/>
      <c r="BI80" s="101"/>
      <c r="BJ80" s="459" t="s">
        <v>176</v>
      </c>
      <c r="BK80" s="460"/>
      <c r="BL80" s="460"/>
      <c r="BM80" s="460"/>
      <c r="BN80" s="460"/>
      <c r="BO80" s="460"/>
      <c r="BP80" s="460"/>
      <c r="BQ80" s="460"/>
      <c r="BR80" s="461"/>
      <c r="BT80" s="103"/>
      <c r="BU80" s="103"/>
      <c r="BV80" s="103"/>
      <c r="BW80" s="103"/>
      <c r="BX80" s="103"/>
      <c r="BY80" s="103"/>
      <c r="BZ80" s="103"/>
      <c r="CA80" s="103"/>
      <c r="CB80" s="103"/>
    </row>
    <row r="81" spans="2:80" s="73" customFormat="1" ht="9" customHeight="1" x14ac:dyDescent="0.25">
      <c r="B81" s="82"/>
      <c r="C81" s="81"/>
      <c r="D81" s="81"/>
      <c r="E81" s="81"/>
      <c r="F81" s="81"/>
      <c r="G81" s="81"/>
      <c r="H81" s="81"/>
      <c r="I81" s="81"/>
      <c r="J81" s="83"/>
      <c r="K81" s="81"/>
      <c r="L81" s="82"/>
      <c r="M81" s="81"/>
      <c r="N81" s="81"/>
      <c r="O81" s="81"/>
      <c r="P81" s="81"/>
      <c r="Q81" s="81"/>
      <c r="R81" s="81"/>
      <c r="S81" s="81"/>
      <c r="T81" s="83"/>
      <c r="U81" s="81"/>
      <c r="V81" s="82"/>
      <c r="W81" s="81"/>
      <c r="X81" s="81"/>
      <c r="Y81" s="81"/>
      <c r="Z81" s="81"/>
      <c r="AA81" s="81"/>
      <c r="AB81" s="81"/>
      <c r="AC81" s="81"/>
      <c r="AD81" s="83"/>
      <c r="AE81" s="81"/>
      <c r="AF81" s="82"/>
      <c r="AG81" s="81"/>
      <c r="AH81" s="81"/>
      <c r="AI81" s="81"/>
      <c r="AJ81" s="81"/>
      <c r="AK81" s="81"/>
      <c r="AL81" s="81"/>
      <c r="AM81" s="81"/>
      <c r="AN81" s="83"/>
      <c r="AO81" s="81"/>
      <c r="AP81" s="82"/>
      <c r="AQ81" s="81"/>
      <c r="AR81" s="81"/>
      <c r="AS81" s="81"/>
      <c r="AT81" s="81"/>
      <c r="AU81" s="81"/>
      <c r="AV81" s="81"/>
      <c r="AW81" s="81"/>
      <c r="AX81" s="83"/>
      <c r="AY81" s="81"/>
      <c r="AZ81" s="85"/>
      <c r="BA81" s="86"/>
      <c r="BB81" s="86"/>
      <c r="BC81" s="88"/>
      <c r="BD81" s="88"/>
      <c r="BE81" s="88"/>
      <c r="BF81" s="88"/>
      <c r="BG81" s="88"/>
      <c r="BH81" s="89"/>
      <c r="BI81" s="101"/>
      <c r="BJ81" s="85"/>
      <c r="BK81" s="86"/>
      <c r="BL81" s="86"/>
      <c r="BM81" s="88"/>
      <c r="BN81" s="88"/>
      <c r="BO81" s="88"/>
      <c r="BP81" s="88"/>
      <c r="BQ81" s="88"/>
      <c r="BR81" s="89"/>
      <c r="BT81" s="103"/>
      <c r="BU81" s="103"/>
      <c r="BV81" s="103"/>
      <c r="BW81" s="84"/>
      <c r="BX81" s="84"/>
      <c r="BY81" s="84"/>
      <c r="BZ81" s="84"/>
      <c r="CA81" s="84"/>
      <c r="CB81" s="84"/>
    </row>
    <row r="82" spans="2:80" s="73" customFormat="1" ht="9" customHeight="1" x14ac:dyDescent="0.25">
      <c r="B82" s="82"/>
      <c r="C82" s="81"/>
      <c r="D82" s="81"/>
      <c r="E82" s="81"/>
      <c r="F82" s="81"/>
      <c r="G82" s="81"/>
      <c r="H82" s="81"/>
      <c r="I82" s="81"/>
      <c r="J82" s="83"/>
      <c r="K82" s="81"/>
      <c r="L82" s="82"/>
      <c r="M82" s="81"/>
      <c r="N82" s="81"/>
      <c r="O82" s="81"/>
      <c r="P82" s="81"/>
      <c r="Q82" s="81"/>
      <c r="R82" s="81"/>
      <c r="S82" s="81"/>
      <c r="T82" s="83"/>
      <c r="U82" s="81"/>
      <c r="V82" s="82"/>
      <c r="W82" s="81"/>
      <c r="X82" s="81"/>
      <c r="Y82" s="81"/>
      <c r="Z82" s="81"/>
      <c r="AA82" s="81"/>
      <c r="AB82" s="81"/>
      <c r="AC82" s="81"/>
      <c r="AD82" s="83"/>
      <c r="AE82" s="81"/>
      <c r="AF82" s="82"/>
      <c r="AG82" s="81"/>
      <c r="AH82" s="81"/>
      <c r="AI82" s="81"/>
      <c r="AJ82" s="81"/>
      <c r="AK82" s="81"/>
      <c r="AL82" s="81"/>
      <c r="AM82" s="81"/>
      <c r="AN82" s="83"/>
      <c r="AO82" s="81"/>
      <c r="AP82" s="82"/>
      <c r="AQ82" s="81"/>
      <c r="AR82" s="81"/>
      <c r="AS82" s="81"/>
      <c r="AT82" s="81"/>
      <c r="AU82" s="81"/>
      <c r="AV82" s="81"/>
      <c r="AW82" s="81"/>
      <c r="AX82" s="83"/>
      <c r="AY82" s="81"/>
      <c r="AZ82" s="85"/>
      <c r="BA82" s="86"/>
      <c r="BB82" s="86"/>
      <c r="BC82" s="88"/>
      <c r="BD82" s="88"/>
      <c r="BE82" s="88"/>
      <c r="BF82" s="88"/>
      <c r="BG82" s="88"/>
      <c r="BH82" s="89"/>
      <c r="BI82" s="101"/>
      <c r="BJ82" s="85"/>
      <c r="BK82" s="86"/>
      <c r="BL82" s="86"/>
      <c r="BM82" s="88"/>
      <c r="BN82" s="88"/>
      <c r="BO82" s="88"/>
      <c r="BP82" s="88"/>
      <c r="BQ82" s="88"/>
      <c r="BR82" s="89"/>
      <c r="BT82" s="103"/>
      <c r="BU82" s="103"/>
      <c r="BV82" s="103"/>
      <c r="BW82" s="84"/>
      <c r="BX82" s="84"/>
      <c r="BY82" s="84"/>
      <c r="BZ82" s="84"/>
      <c r="CA82" s="84"/>
      <c r="CB82" s="84"/>
    </row>
    <row r="83" spans="2:80" s="73" customFormat="1" ht="9" customHeight="1" x14ac:dyDescent="0.25">
      <c r="B83" s="82"/>
      <c r="C83" s="81"/>
      <c r="D83" s="81"/>
      <c r="E83" s="81"/>
      <c r="F83" s="81"/>
      <c r="G83" s="81"/>
      <c r="H83" s="81"/>
      <c r="I83" s="81"/>
      <c r="J83" s="83"/>
      <c r="K83" s="81"/>
      <c r="L83" s="82"/>
      <c r="M83" s="81"/>
      <c r="N83" s="81"/>
      <c r="O83" s="81"/>
      <c r="P83" s="81"/>
      <c r="Q83" s="81"/>
      <c r="R83" s="81"/>
      <c r="S83" s="81"/>
      <c r="T83" s="83"/>
      <c r="U83" s="81"/>
      <c r="V83" s="82"/>
      <c r="W83" s="81"/>
      <c r="X83" s="81"/>
      <c r="Y83" s="81"/>
      <c r="Z83" s="81"/>
      <c r="AA83" s="81"/>
      <c r="AB83" s="81"/>
      <c r="AC83" s="81"/>
      <c r="AD83" s="83"/>
      <c r="AE83" s="81"/>
      <c r="AF83" s="82"/>
      <c r="AG83" s="81"/>
      <c r="AH83" s="81"/>
      <c r="AI83" s="81"/>
      <c r="AJ83" s="81"/>
      <c r="AK83" s="81"/>
      <c r="AL83" s="81"/>
      <c r="AM83" s="81"/>
      <c r="AN83" s="83"/>
      <c r="AO83" s="81"/>
      <c r="AP83" s="82"/>
      <c r="AQ83" s="81"/>
      <c r="AR83" s="81"/>
      <c r="AS83" s="81"/>
      <c r="AT83" s="81"/>
      <c r="AU83" s="81"/>
      <c r="AV83" s="81"/>
      <c r="AW83" s="81"/>
      <c r="AX83" s="83"/>
      <c r="AY83" s="81"/>
      <c r="AZ83" s="85"/>
      <c r="BA83" s="86"/>
      <c r="BB83" s="86"/>
      <c r="BC83" s="88"/>
      <c r="BD83" s="88"/>
      <c r="BE83" s="88"/>
      <c r="BF83" s="88"/>
      <c r="BG83" s="88"/>
      <c r="BH83" s="89"/>
      <c r="BI83" s="101"/>
      <c r="BJ83" s="85"/>
      <c r="BK83" s="86"/>
      <c r="BL83" s="86"/>
      <c r="BM83" s="88"/>
      <c r="BN83" s="88"/>
      <c r="BO83" s="88"/>
      <c r="BP83" s="88"/>
      <c r="BQ83" s="88"/>
      <c r="BR83" s="89"/>
      <c r="BT83" s="103"/>
      <c r="BU83" s="103"/>
      <c r="BV83" s="103"/>
      <c r="BW83" s="84"/>
      <c r="BX83" s="84"/>
      <c r="BY83" s="84"/>
      <c r="BZ83" s="84"/>
      <c r="CA83" s="84"/>
      <c r="CB83" s="84"/>
    </row>
    <row r="84" spans="2:80" s="73" customFormat="1" ht="9" customHeight="1" x14ac:dyDescent="0.25">
      <c r="B84" s="82"/>
      <c r="C84" s="81"/>
      <c r="D84" s="81"/>
      <c r="E84" s="81"/>
      <c r="F84" s="81"/>
      <c r="G84" s="81"/>
      <c r="H84" s="81"/>
      <c r="I84" s="81"/>
      <c r="J84" s="83"/>
      <c r="K84" s="81"/>
      <c r="L84" s="82"/>
      <c r="M84" s="81"/>
      <c r="N84" s="81"/>
      <c r="O84" s="81"/>
      <c r="P84" s="81"/>
      <c r="Q84" s="81"/>
      <c r="R84" s="81"/>
      <c r="S84" s="81"/>
      <c r="T84" s="83"/>
      <c r="U84" s="81"/>
      <c r="V84" s="82"/>
      <c r="W84" s="81"/>
      <c r="X84" s="81"/>
      <c r="Y84" s="81"/>
      <c r="Z84" s="81"/>
      <c r="AA84" s="81"/>
      <c r="AB84" s="81"/>
      <c r="AC84" s="81"/>
      <c r="AD84" s="83"/>
      <c r="AE84" s="81"/>
      <c r="AF84" s="82"/>
      <c r="AG84" s="81"/>
      <c r="AH84" s="81"/>
      <c r="AI84" s="81"/>
      <c r="AJ84" s="81"/>
      <c r="AK84" s="81"/>
      <c r="AL84" s="81"/>
      <c r="AM84" s="81"/>
      <c r="AN84" s="83"/>
      <c r="AO84" s="81"/>
      <c r="AP84" s="82"/>
      <c r="AQ84" s="81"/>
      <c r="AR84" s="81"/>
      <c r="AS84" s="81"/>
      <c r="AT84" s="81"/>
      <c r="AU84" s="81"/>
      <c r="AV84" s="81"/>
      <c r="AW84" s="81"/>
      <c r="AX84" s="83"/>
      <c r="AY84" s="81"/>
      <c r="AZ84" s="85"/>
      <c r="BA84" s="86"/>
      <c r="BB84" s="86"/>
      <c r="BC84" s="88"/>
      <c r="BD84" s="88"/>
      <c r="BE84" s="88"/>
      <c r="BF84" s="88"/>
      <c r="BG84" s="88"/>
      <c r="BH84" s="89"/>
      <c r="BI84" s="101"/>
      <c r="BJ84" s="85"/>
      <c r="BK84" s="86"/>
      <c r="BL84" s="86"/>
      <c r="BM84" s="88"/>
      <c r="BN84" s="88"/>
      <c r="BO84" s="88"/>
      <c r="BP84" s="88"/>
      <c r="BQ84" s="88"/>
      <c r="BR84" s="89"/>
      <c r="BT84" s="103"/>
      <c r="BU84" s="103"/>
      <c r="BV84" s="103"/>
      <c r="BW84" s="84"/>
      <c r="BX84" s="84"/>
      <c r="BY84" s="84"/>
      <c r="BZ84" s="84"/>
      <c r="CA84" s="84"/>
      <c r="CB84" s="84"/>
    </row>
    <row r="85" spans="2:80" s="73" customFormat="1" ht="9" customHeight="1" x14ac:dyDescent="0.25">
      <c r="B85" s="82"/>
      <c r="C85" s="81"/>
      <c r="D85" s="81"/>
      <c r="E85" s="81"/>
      <c r="F85" s="81"/>
      <c r="G85" s="81"/>
      <c r="H85" s="81"/>
      <c r="I85" s="81"/>
      <c r="J85" s="83"/>
      <c r="K85" s="81"/>
      <c r="L85" s="82"/>
      <c r="M85" s="81"/>
      <c r="N85" s="81"/>
      <c r="O85" s="81"/>
      <c r="P85" s="81"/>
      <c r="Q85" s="81"/>
      <c r="R85" s="81"/>
      <c r="S85" s="81"/>
      <c r="T85" s="83"/>
      <c r="U85" s="81"/>
      <c r="V85" s="82"/>
      <c r="W85" s="81"/>
      <c r="X85" s="81"/>
      <c r="Y85" s="81"/>
      <c r="Z85" s="81"/>
      <c r="AA85" s="81"/>
      <c r="AB85" s="81"/>
      <c r="AC85" s="81"/>
      <c r="AD85" s="83"/>
      <c r="AE85" s="81"/>
      <c r="AF85" s="82"/>
      <c r="AG85" s="81"/>
      <c r="AH85" s="81"/>
      <c r="AI85" s="81"/>
      <c r="AJ85" s="81"/>
      <c r="AK85" s="81"/>
      <c r="AL85" s="81"/>
      <c r="AM85" s="81"/>
      <c r="AN85" s="83"/>
      <c r="AO85" s="81"/>
      <c r="AP85" s="82"/>
      <c r="AQ85" s="81"/>
      <c r="AR85" s="81"/>
      <c r="AS85" s="81"/>
      <c r="AT85" s="81"/>
      <c r="AU85" s="81"/>
      <c r="AV85" s="81"/>
      <c r="AW85" s="81"/>
      <c r="AX85" s="83"/>
      <c r="AY85" s="81"/>
      <c r="AZ85" s="85"/>
      <c r="BA85" s="86"/>
      <c r="BB85" s="86"/>
      <c r="BC85" s="88"/>
      <c r="BD85" s="88"/>
      <c r="BE85" s="88"/>
      <c r="BF85" s="88"/>
      <c r="BG85" s="88"/>
      <c r="BH85" s="89"/>
      <c r="BI85" s="101"/>
      <c r="BJ85" s="85"/>
      <c r="BK85" s="86"/>
      <c r="BL85" s="86"/>
      <c r="BM85" s="88"/>
      <c r="BN85" s="88"/>
      <c r="BO85" s="88"/>
      <c r="BP85" s="88"/>
      <c r="BQ85" s="88"/>
      <c r="BR85" s="89"/>
      <c r="BT85" s="103"/>
      <c r="BU85" s="103"/>
      <c r="BV85" s="103"/>
      <c r="BW85" s="84"/>
      <c r="BX85" s="84"/>
      <c r="BY85" s="84"/>
      <c r="BZ85" s="84"/>
      <c r="CA85" s="84"/>
      <c r="CB85" s="84"/>
    </row>
    <row r="86" spans="2:80" s="73" customFormat="1" ht="9" customHeight="1" x14ac:dyDescent="0.25">
      <c r="B86" s="82"/>
      <c r="C86" s="81"/>
      <c r="D86" s="81"/>
      <c r="E86" s="81"/>
      <c r="F86" s="81"/>
      <c r="G86" s="81"/>
      <c r="H86" s="81"/>
      <c r="I86" s="81"/>
      <c r="J86" s="83"/>
      <c r="K86" s="81"/>
      <c r="L86" s="82"/>
      <c r="M86" s="81"/>
      <c r="N86" s="81"/>
      <c r="O86" s="81"/>
      <c r="P86" s="81"/>
      <c r="Q86" s="81"/>
      <c r="R86" s="81"/>
      <c r="S86" s="81"/>
      <c r="T86" s="83"/>
      <c r="U86" s="81"/>
      <c r="V86" s="82"/>
      <c r="W86" s="81"/>
      <c r="X86" s="81"/>
      <c r="Y86" s="81"/>
      <c r="Z86" s="81"/>
      <c r="AA86" s="81"/>
      <c r="AB86" s="81"/>
      <c r="AC86" s="81"/>
      <c r="AD86" s="83"/>
      <c r="AE86" s="81"/>
      <c r="AF86" s="82"/>
      <c r="AG86" s="81"/>
      <c r="AH86" s="81"/>
      <c r="AI86" s="81"/>
      <c r="AJ86" s="81"/>
      <c r="AK86" s="81"/>
      <c r="AL86" s="81"/>
      <c r="AM86" s="81"/>
      <c r="AN86" s="83"/>
      <c r="AO86" s="81"/>
      <c r="AP86" s="82"/>
      <c r="AQ86" s="81"/>
      <c r="AR86" s="81"/>
      <c r="AS86" s="81"/>
      <c r="AT86" s="81"/>
      <c r="AU86" s="81"/>
      <c r="AV86" s="81"/>
      <c r="AW86" s="81"/>
      <c r="AX86" s="83"/>
      <c r="AY86" s="81"/>
      <c r="AZ86" s="85"/>
      <c r="BA86" s="86"/>
      <c r="BB86" s="86"/>
      <c r="BC86" s="88"/>
      <c r="BD86" s="88"/>
      <c r="BE86" s="88"/>
      <c r="BF86" s="88"/>
      <c r="BG86" s="88"/>
      <c r="BH86" s="89"/>
      <c r="BI86" s="101"/>
      <c r="BJ86" s="85"/>
      <c r="BK86" s="86"/>
      <c r="BL86" s="86"/>
      <c r="BM86" s="88"/>
      <c r="BN86" s="88"/>
      <c r="BO86" s="88"/>
      <c r="BP86" s="88"/>
      <c r="BQ86" s="88"/>
      <c r="BR86" s="89"/>
      <c r="BT86" s="103"/>
      <c r="BU86" s="103"/>
      <c r="BV86" s="103"/>
      <c r="BW86" s="84"/>
      <c r="BX86" s="84"/>
      <c r="BY86" s="84"/>
      <c r="BZ86" s="84"/>
      <c r="CA86" s="84"/>
      <c r="CB86" s="84"/>
    </row>
    <row r="87" spans="2:80" s="73" customFormat="1" ht="9" customHeight="1" x14ac:dyDescent="0.25">
      <c r="B87" s="82"/>
      <c r="C87" s="81"/>
      <c r="D87" s="81"/>
      <c r="E87" s="81"/>
      <c r="F87" s="81"/>
      <c r="G87" s="81"/>
      <c r="H87" s="81"/>
      <c r="I87" s="81"/>
      <c r="J87" s="83"/>
      <c r="K87" s="81"/>
      <c r="L87" s="82"/>
      <c r="M87" s="81"/>
      <c r="N87" s="81"/>
      <c r="O87" s="81"/>
      <c r="P87" s="81"/>
      <c r="Q87" s="81"/>
      <c r="R87" s="81"/>
      <c r="S87" s="81"/>
      <c r="T87" s="83"/>
      <c r="U87" s="81"/>
      <c r="V87" s="82"/>
      <c r="W87" s="81"/>
      <c r="X87" s="81"/>
      <c r="Y87" s="81"/>
      <c r="Z87" s="81"/>
      <c r="AA87" s="81"/>
      <c r="AB87" s="81"/>
      <c r="AC87" s="81"/>
      <c r="AD87" s="83"/>
      <c r="AE87" s="81"/>
      <c r="AF87" s="82"/>
      <c r="AG87" s="81"/>
      <c r="AH87" s="81"/>
      <c r="AI87" s="81"/>
      <c r="AJ87" s="81"/>
      <c r="AK87" s="81"/>
      <c r="AL87" s="81"/>
      <c r="AM87" s="81"/>
      <c r="AN87" s="83"/>
      <c r="AO87" s="81"/>
      <c r="AP87" s="82"/>
      <c r="AQ87" s="81"/>
      <c r="AR87" s="81"/>
      <c r="AS87" s="81"/>
      <c r="AT87" s="81"/>
      <c r="AU87" s="81"/>
      <c r="AV87" s="81"/>
      <c r="AW87" s="81"/>
      <c r="AX87" s="83"/>
      <c r="AY87" s="81"/>
      <c r="AZ87" s="85"/>
      <c r="BA87" s="86"/>
      <c r="BB87" s="86"/>
      <c r="BC87" s="88"/>
      <c r="BD87" s="88"/>
      <c r="BE87" s="88"/>
      <c r="BF87" s="88"/>
      <c r="BG87" s="88"/>
      <c r="BH87" s="89"/>
      <c r="BI87" s="101"/>
      <c r="BJ87" s="85"/>
      <c r="BK87" s="86"/>
      <c r="BL87" s="86"/>
      <c r="BM87" s="88"/>
      <c r="BN87" s="88"/>
      <c r="BO87" s="88"/>
      <c r="BP87" s="88"/>
      <c r="BQ87" s="88"/>
      <c r="BR87" s="89"/>
      <c r="BT87" s="103"/>
      <c r="BU87" s="103"/>
      <c r="BV87" s="103"/>
      <c r="BW87" s="84"/>
      <c r="BX87" s="84"/>
      <c r="BY87" s="84"/>
      <c r="BZ87" s="84"/>
      <c r="CA87" s="84"/>
      <c r="CB87" s="84"/>
    </row>
    <row r="88" spans="2:80" s="73" customFormat="1" ht="9" customHeight="1" x14ac:dyDescent="0.25">
      <c r="B88" s="82"/>
      <c r="C88" s="81"/>
      <c r="D88" s="81"/>
      <c r="E88" s="81"/>
      <c r="F88" s="81"/>
      <c r="G88" s="81"/>
      <c r="H88" s="81"/>
      <c r="I88" s="81"/>
      <c r="J88" s="83"/>
      <c r="K88" s="81"/>
      <c r="L88" s="82"/>
      <c r="M88" s="81"/>
      <c r="N88" s="81"/>
      <c r="O88" s="81"/>
      <c r="P88" s="81"/>
      <c r="Q88" s="81"/>
      <c r="R88" s="81"/>
      <c r="S88" s="81"/>
      <c r="T88" s="83"/>
      <c r="U88" s="81"/>
      <c r="V88" s="82"/>
      <c r="W88" s="81"/>
      <c r="X88" s="81"/>
      <c r="Y88" s="81"/>
      <c r="Z88" s="81"/>
      <c r="AA88" s="81"/>
      <c r="AB88" s="81"/>
      <c r="AC88" s="81"/>
      <c r="AD88" s="83"/>
      <c r="AE88" s="81"/>
      <c r="AF88" s="82"/>
      <c r="AG88" s="81"/>
      <c r="AH88" s="81"/>
      <c r="AI88" s="81"/>
      <c r="AJ88" s="81"/>
      <c r="AK88" s="81"/>
      <c r="AL88" s="81"/>
      <c r="AM88" s="81"/>
      <c r="AN88" s="83"/>
      <c r="AO88" s="81"/>
      <c r="AP88" s="82"/>
      <c r="AQ88" s="81"/>
      <c r="AR88" s="81"/>
      <c r="AS88" s="81"/>
      <c r="AT88" s="81"/>
      <c r="AU88" s="81"/>
      <c r="AV88" s="81"/>
      <c r="AW88" s="81"/>
      <c r="AX88" s="83"/>
      <c r="AY88" s="81"/>
      <c r="AZ88" s="85"/>
      <c r="BA88" s="86"/>
      <c r="BB88" s="86"/>
      <c r="BC88" s="88"/>
      <c r="BD88" s="88"/>
      <c r="BE88" s="88"/>
      <c r="BF88" s="88"/>
      <c r="BG88" s="88"/>
      <c r="BH88" s="89"/>
      <c r="BI88" s="101"/>
      <c r="BJ88" s="85"/>
      <c r="BK88" s="86"/>
      <c r="BL88" s="86"/>
      <c r="BM88" s="88"/>
      <c r="BN88" s="88"/>
      <c r="BO88" s="88"/>
      <c r="BP88" s="88"/>
      <c r="BQ88" s="88"/>
      <c r="BR88" s="89"/>
      <c r="BT88" s="103"/>
      <c r="BU88" s="103"/>
      <c r="BV88" s="103"/>
      <c r="BW88" s="84"/>
      <c r="BX88" s="84"/>
      <c r="BY88" s="84"/>
      <c r="BZ88" s="84"/>
      <c r="CA88" s="84"/>
      <c r="CB88" s="84"/>
    </row>
    <row r="89" spans="2:80" s="73" customFormat="1" ht="9" customHeight="1" x14ac:dyDescent="0.25">
      <c r="B89" s="82"/>
      <c r="C89" s="81"/>
      <c r="D89" s="81"/>
      <c r="E89" s="81"/>
      <c r="F89" s="81"/>
      <c r="G89" s="81"/>
      <c r="H89" s="81"/>
      <c r="I89" s="81"/>
      <c r="J89" s="83"/>
      <c r="K89" s="81"/>
      <c r="L89" s="82"/>
      <c r="M89" s="81"/>
      <c r="N89" s="81"/>
      <c r="O89" s="81"/>
      <c r="P89" s="81"/>
      <c r="Q89" s="81"/>
      <c r="R89" s="81"/>
      <c r="S89" s="81"/>
      <c r="T89" s="83"/>
      <c r="U89" s="81"/>
      <c r="V89" s="82"/>
      <c r="W89" s="81"/>
      <c r="X89" s="81"/>
      <c r="Y89" s="81"/>
      <c r="Z89" s="81"/>
      <c r="AA89" s="81"/>
      <c r="AB89" s="81"/>
      <c r="AC89" s="81"/>
      <c r="AD89" s="83"/>
      <c r="AE89" s="81"/>
      <c r="AF89" s="82"/>
      <c r="AG89" s="81"/>
      <c r="AH89" s="81"/>
      <c r="AI89" s="81"/>
      <c r="AJ89" s="81"/>
      <c r="AK89" s="81"/>
      <c r="AL89" s="81"/>
      <c r="AM89" s="81"/>
      <c r="AN89" s="83"/>
      <c r="AO89" s="81"/>
      <c r="AP89" s="82"/>
      <c r="AQ89" s="81"/>
      <c r="AR89" s="81"/>
      <c r="AS89" s="81"/>
      <c r="AT89" s="81"/>
      <c r="AU89" s="81"/>
      <c r="AV89" s="81"/>
      <c r="AW89" s="81"/>
      <c r="AX89" s="83"/>
      <c r="AY89" s="81"/>
      <c r="AZ89" s="85"/>
      <c r="BA89" s="86"/>
      <c r="BB89" s="86"/>
      <c r="BC89" s="88"/>
      <c r="BD89" s="88"/>
      <c r="BE89" s="88"/>
      <c r="BF89" s="88"/>
      <c r="BG89" s="88"/>
      <c r="BH89" s="89"/>
      <c r="BI89" s="101"/>
      <c r="BJ89" s="85"/>
      <c r="BK89" s="86"/>
      <c r="BL89" s="86"/>
      <c r="BM89" s="88"/>
      <c r="BN89" s="88"/>
      <c r="BO89" s="88"/>
      <c r="BP89" s="88"/>
      <c r="BQ89" s="88"/>
      <c r="BR89" s="89"/>
      <c r="BT89" s="103"/>
      <c r="BU89" s="103"/>
      <c r="BV89" s="103"/>
      <c r="BW89" s="84"/>
      <c r="BX89" s="84"/>
      <c r="BY89" s="84"/>
      <c r="BZ89" s="84"/>
      <c r="CA89" s="84"/>
      <c r="CB89" s="84"/>
    </row>
    <row r="90" spans="2:80" s="73" customFormat="1" ht="9" customHeight="1" x14ac:dyDescent="0.25">
      <c r="B90" s="85"/>
      <c r="C90" s="86"/>
      <c r="D90" s="86"/>
      <c r="E90" s="86"/>
      <c r="F90" s="86"/>
      <c r="G90" s="86"/>
      <c r="H90" s="86"/>
      <c r="I90" s="86"/>
      <c r="J90" s="87"/>
      <c r="K90" s="81"/>
      <c r="L90" s="85"/>
      <c r="M90" s="86"/>
      <c r="N90" s="86"/>
      <c r="O90" s="86"/>
      <c r="P90" s="86"/>
      <c r="Q90" s="86"/>
      <c r="R90" s="86"/>
      <c r="S90" s="86"/>
      <c r="T90" s="87"/>
      <c r="U90" s="81"/>
      <c r="V90" s="85"/>
      <c r="W90" s="86"/>
      <c r="X90" s="86"/>
      <c r="Y90" s="86"/>
      <c r="Z90" s="86"/>
      <c r="AA90" s="86"/>
      <c r="AB90" s="86"/>
      <c r="AC90" s="86"/>
      <c r="AD90" s="87"/>
      <c r="AE90" s="81"/>
      <c r="AF90" s="82"/>
      <c r="AG90" s="81"/>
      <c r="AH90" s="81"/>
      <c r="AI90" s="81"/>
      <c r="AJ90" s="81"/>
      <c r="AK90" s="81"/>
      <c r="AL90" s="81"/>
      <c r="AM90" s="81"/>
      <c r="AN90" s="83"/>
      <c r="AO90" s="81"/>
      <c r="AP90" s="82"/>
      <c r="AQ90" s="81"/>
      <c r="AR90" s="81"/>
      <c r="AS90" s="81"/>
      <c r="AT90" s="81"/>
      <c r="AU90" s="81"/>
      <c r="AV90" s="81"/>
      <c r="AW90" s="81"/>
      <c r="AX90" s="83"/>
      <c r="AY90" s="81"/>
      <c r="AZ90" s="82"/>
      <c r="BA90" s="81"/>
      <c r="BB90" s="81"/>
      <c r="BC90" s="81"/>
      <c r="BD90" s="81"/>
      <c r="BE90" s="81"/>
      <c r="BF90" s="81"/>
      <c r="BG90" s="81"/>
      <c r="BH90" s="83"/>
      <c r="BI90" s="101"/>
      <c r="BJ90" s="82"/>
      <c r="BK90" s="81"/>
      <c r="BL90" s="81"/>
      <c r="BM90" s="81"/>
      <c r="BN90" s="81"/>
      <c r="BO90" s="81"/>
      <c r="BP90" s="81"/>
      <c r="BQ90" s="81"/>
      <c r="BR90" s="83"/>
      <c r="BT90" s="103"/>
      <c r="BU90" s="103"/>
      <c r="BV90" s="103"/>
      <c r="BW90" s="103"/>
      <c r="BX90" s="103"/>
      <c r="BY90" s="103"/>
      <c r="BZ90" s="103"/>
      <c r="CA90" s="103"/>
      <c r="CB90" s="103"/>
    </row>
    <row r="91" spans="2:80" s="73" customFormat="1" ht="9" customHeight="1" x14ac:dyDescent="0.25">
      <c r="B91" s="85"/>
      <c r="C91" s="86"/>
      <c r="D91" s="86"/>
      <c r="E91" s="86"/>
      <c r="F91" s="86"/>
      <c r="G91" s="86"/>
      <c r="H91" s="86"/>
      <c r="I91" s="86"/>
      <c r="J91" s="87"/>
      <c r="K91" s="81"/>
      <c r="L91" s="85"/>
      <c r="M91" s="86"/>
      <c r="N91" s="86"/>
      <c r="O91" s="86"/>
      <c r="P91" s="86"/>
      <c r="Q91" s="86"/>
      <c r="R91" s="86"/>
      <c r="S91" s="86"/>
      <c r="T91" s="87"/>
      <c r="U91" s="81"/>
      <c r="V91" s="85"/>
      <c r="W91" s="86"/>
      <c r="X91" s="86"/>
      <c r="Y91" s="86"/>
      <c r="Z91" s="86"/>
      <c r="AA91" s="86"/>
      <c r="AB91" s="86"/>
      <c r="AC91" s="86"/>
      <c r="AD91" s="87"/>
      <c r="AE91" s="81"/>
      <c r="AF91" s="82"/>
      <c r="AG91" s="81"/>
      <c r="AH91" s="81"/>
      <c r="AI91" s="81"/>
      <c r="AJ91" s="81"/>
      <c r="AK91" s="81"/>
      <c r="AL91" s="81"/>
      <c r="AM91" s="81"/>
      <c r="AN91" s="83"/>
      <c r="AO91" s="81"/>
      <c r="AP91" s="82"/>
      <c r="AQ91" s="81"/>
      <c r="AR91" s="81"/>
      <c r="AS91" s="81"/>
      <c r="AT91" s="81"/>
      <c r="AU91" s="81"/>
      <c r="AV91" s="81"/>
      <c r="AW91" s="81"/>
      <c r="AX91" s="83"/>
      <c r="AY91" s="81"/>
      <c r="AZ91" s="82"/>
      <c r="BA91" s="81"/>
      <c r="BB91" s="81"/>
      <c r="BC91" s="81"/>
      <c r="BD91" s="81"/>
      <c r="BE91" s="81"/>
      <c r="BF91" s="81"/>
      <c r="BG91" s="81"/>
      <c r="BH91" s="83"/>
      <c r="BI91" s="101"/>
      <c r="BJ91" s="82"/>
      <c r="BK91" s="81"/>
      <c r="BL91" s="81"/>
      <c r="BM91" s="81"/>
      <c r="BN91" s="81"/>
      <c r="BO91" s="81"/>
      <c r="BP91" s="81"/>
      <c r="BQ91" s="81"/>
      <c r="BR91" s="83"/>
      <c r="BT91" s="457"/>
      <c r="BU91" s="457"/>
      <c r="BV91" s="457"/>
      <c r="BW91" s="457"/>
      <c r="BX91" s="457"/>
      <c r="BY91" s="458"/>
      <c r="BZ91" s="458"/>
      <c r="CA91" s="458"/>
      <c r="CB91" s="458"/>
    </row>
    <row r="92" spans="2:80" s="73" customFormat="1" ht="9" customHeight="1" x14ac:dyDescent="0.25">
      <c r="B92" s="85"/>
      <c r="C92" s="86"/>
      <c r="D92" s="86"/>
      <c r="E92" s="86"/>
      <c r="F92" s="86"/>
      <c r="G92" s="86"/>
      <c r="H92" s="86"/>
      <c r="I92" s="86"/>
      <c r="J92" s="87"/>
      <c r="K92" s="81"/>
      <c r="L92" s="85"/>
      <c r="M92" s="86"/>
      <c r="N92" s="86"/>
      <c r="O92" s="86"/>
      <c r="P92" s="86"/>
      <c r="Q92" s="86"/>
      <c r="R92" s="86"/>
      <c r="S92" s="86"/>
      <c r="T92" s="87"/>
      <c r="U92" s="81"/>
      <c r="V92" s="85"/>
      <c r="W92" s="86"/>
      <c r="X92" s="86"/>
      <c r="Y92" s="86"/>
      <c r="Z92" s="86"/>
      <c r="AA92" s="86"/>
      <c r="AB92" s="86"/>
      <c r="AC92" s="86"/>
      <c r="AD92" s="87"/>
      <c r="AE92" s="81"/>
      <c r="AF92" s="454" t="s">
        <v>317</v>
      </c>
      <c r="AG92" s="454"/>
      <c r="AH92" s="454"/>
      <c r="AI92" s="454"/>
      <c r="AJ92" s="454"/>
      <c r="AK92" s="453" t="s">
        <v>345</v>
      </c>
      <c r="AL92" s="453"/>
      <c r="AM92" s="453">
        <f>CEILING(7377*B3,1)</f>
        <v>14017</v>
      </c>
      <c r="AN92" s="453"/>
      <c r="AO92" s="75"/>
      <c r="AP92" s="454" t="s">
        <v>317</v>
      </c>
      <c r="AQ92" s="454"/>
      <c r="AR92" s="454"/>
      <c r="AS92" s="454"/>
      <c r="AT92" s="454"/>
      <c r="AU92" s="453" t="s">
        <v>345</v>
      </c>
      <c r="AV92" s="453"/>
      <c r="AW92" s="453">
        <f>CEILING(7762*B3,1)</f>
        <v>14748</v>
      </c>
      <c r="AX92" s="453"/>
      <c r="AY92" s="75"/>
      <c r="AZ92" s="454" t="s">
        <v>317</v>
      </c>
      <c r="BA92" s="454"/>
      <c r="BB92" s="454"/>
      <c r="BC92" s="454"/>
      <c r="BD92" s="454"/>
      <c r="BE92" s="453" t="s">
        <v>346</v>
      </c>
      <c r="BF92" s="453"/>
      <c r="BG92" s="453">
        <f>CEILING(5529*B3,1)</f>
        <v>10506</v>
      </c>
      <c r="BH92" s="453"/>
      <c r="BI92" s="75"/>
      <c r="BJ92" s="454" t="s">
        <v>317</v>
      </c>
      <c r="BK92" s="454"/>
      <c r="BL92" s="454"/>
      <c r="BM92" s="454"/>
      <c r="BN92" s="454"/>
      <c r="BO92" s="453" t="s">
        <v>346</v>
      </c>
      <c r="BP92" s="453"/>
      <c r="BQ92" s="453">
        <f>CEILING(6098*B3,1)</f>
        <v>11587</v>
      </c>
      <c r="BR92" s="453"/>
      <c r="BT92" s="103"/>
      <c r="BU92" s="103"/>
      <c r="BV92" s="103"/>
      <c r="BW92" s="103"/>
      <c r="BX92" s="103"/>
      <c r="BY92" s="103"/>
      <c r="BZ92" s="103"/>
      <c r="CA92" s="103"/>
      <c r="CB92" s="103"/>
    </row>
    <row r="93" spans="2:80" s="73" customFormat="1" ht="9" customHeight="1" x14ac:dyDescent="0.25">
      <c r="B93" s="454" t="s">
        <v>347</v>
      </c>
      <c r="C93" s="454"/>
      <c r="D93" s="454"/>
      <c r="E93" s="454"/>
      <c r="F93" s="454"/>
      <c r="G93" s="453">
        <f>CEILING(3540*B3,1)</f>
        <v>6726</v>
      </c>
      <c r="H93" s="453"/>
      <c r="I93" s="453"/>
      <c r="J93" s="453"/>
      <c r="K93" s="75"/>
      <c r="L93" s="454" t="s">
        <v>336</v>
      </c>
      <c r="M93" s="454"/>
      <c r="N93" s="454"/>
      <c r="O93" s="454"/>
      <c r="P93" s="454"/>
      <c r="Q93" s="453">
        <f>CEILING(5420*B3,1)</f>
        <v>10298</v>
      </c>
      <c r="R93" s="453"/>
      <c r="S93" s="453"/>
      <c r="T93" s="453"/>
      <c r="U93" s="75"/>
      <c r="V93" s="454" t="s">
        <v>348</v>
      </c>
      <c r="W93" s="454"/>
      <c r="X93" s="454"/>
      <c r="Y93" s="454"/>
      <c r="Z93" s="454"/>
      <c r="AA93" s="453">
        <f>CEILING(4608*B3,1)</f>
        <v>8756</v>
      </c>
      <c r="AB93" s="453"/>
      <c r="AC93" s="453"/>
      <c r="AD93" s="453"/>
      <c r="AE93" s="104"/>
      <c r="AF93" s="454" t="s">
        <v>318</v>
      </c>
      <c r="AG93" s="454"/>
      <c r="AH93" s="454"/>
      <c r="AI93" s="454"/>
      <c r="AJ93" s="454"/>
      <c r="AK93" s="453" t="s">
        <v>349</v>
      </c>
      <c r="AL93" s="453"/>
      <c r="AM93" s="453">
        <f>CEILING(8752*B3,1)</f>
        <v>16629</v>
      </c>
      <c r="AN93" s="453"/>
      <c r="AO93" s="75"/>
      <c r="AP93" s="454" t="s">
        <v>318</v>
      </c>
      <c r="AQ93" s="454"/>
      <c r="AR93" s="454"/>
      <c r="AS93" s="454"/>
      <c r="AT93" s="454"/>
      <c r="AU93" s="453" t="s">
        <v>349</v>
      </c>
      <c r="AV93" s="453"/>
      <c r="AW93" s="453">
        <f>CEILING(9172*B3,1)</f>
        <v>17427</v>
      </c>
      <c r="AX93" s="453"/>
      <c r="AY93" s="75"/>
      <c r="AZ93" s="454" t="s">
        <v>318</v>
      </c>
      <c r="BA93" s="454"/>
      <c r="BB93" s="454"/>
      <c r="BC93" s="454"/>
      <c r="BD93" s="454"/>
      <c r="BE93" s="453" t="s">
        <v>350</v>
      </c>
      <c r="BF93" s="453"/>
      <c r="BG93" s="453">
        <f>CEILING(6302*B3,1)</f>
        <v>11974</v>
      </c>
      <c r="BH93" s="453"/>
      <c r="BI93" s="75"/>
      <c r="BJ93" s="454" t="s">
        <v>318</v>
      </c>
      <c r="BK93" s="454"/>
      <c r="BL93" s="454"/>
      <c r="BM93" s="454"/>
      <c r="BN93" s="454"/>
      <c r="BO93" s="453" t="s">
        <v>350</v>
      </c>
      <c r="BP93" s="453"/>
      <c r="BQ93" s="453">
        <f>CEILING(6356*B3,1)</f>
        <v>12077</v>
      </c>
      <c r="BR93" s="453"/>
      <c r="BT93" s="457"/>
      <c r="BU93" s="457"/>
      <c r="BV93" s="457"/>
      <c r="BW93" s="457"/>
      <c r="BX93" s="457"/>
      <c r="BY93" s="458"/>
      <c r="BZ93" s="458"/>
      <c r="CA93" s="458"/>
      <c r="CB93" s="458"/>
    </row>
  </sheetData>
  <mergeCells count="262">
    <mergeCell ref="B3:J3"/>
    <mergeCell ref="L3:BR3"/>
    <mergeCell ref="B16:F16"/>
    <mergeCell ref="G16:J16"/>
    <mergeCell ref="L16:P16"/>
    <mergeCell ref="Q16:T16"/>
    <mergeCell ref="V16:Z16"/>
    <mergeCell ref="AA16:AD16"/>
    <mergeCell ref="AF16:AJ16"/>
    <mergeCell ref="AK16:AN16"/>
    <mergeCell ref="AF5:AH5"/>
    <mergeCell ref="AI5:AN5"/>
    <mergeCell ref="B5:D5"/>
    <mergeCell ref="E5:J5"/>
    <mergeCell ref="L5:N5"/>
    <mergeCell ref="O5:T5"/>
    <mergeCell ref="V5:X5"/>
    <mergeCell ref="Y5:AD5"/>
    <mergeCell ref="Y18:AD18"/>
    <mergeCell ref="AP16:AT16"/>
    <mergeCell ref="AU16:AX16"/>
    <mergeCell ref="AZ16:BD16"/>
    <mergeCell ref="BE16:BH16"/>
    <mergeCell ref="BJ16:BN16"/>
    <mergeCell ref="BO16:BR16"/>
    <mergeCell ref="BJ5:BL5"/>
    <mergeCell ref="BM5:BR5"/>
    <mergeCell ref="AP5:AR5"/>
    <mergeCell ref="AS5:AX5"/>
    <mergeCell ref="AZ5:BB5"/>
    <mergeCell ref="BC5:BH5"/>
    <mergeCell ref="L29:P29"/>
    <mergeCell ref="Q29:T29"/>
    <mergeCell ref="V29:Z29"/>
    <mergeCell ref="AA29:AD29"/>
    <mergeCell ref="BJ18:BL18"/>
    <mergeCell ref="BM18:BR18"/>
    <mergeCell ref="B19:J19"/>
    <mergeCell ref="L19:T19"/>
    <mergeCell ref="V19:AD19"/>
    <mergeCell ref="AF19:AN19"/>
    <mergeCell ref="AP19:AX19"/>
    <mergeCell ref="AZ19:BH19"/>
    <mergeCell ref="BJ19:BR19"/>
    <mergeCell ref="AF18:AH18"/>
    <mergeCell ref="AI18:AN18"/>
    <mergeCell ref="AP18:AR18"/>
    <mergeCell ref="AS18:AX18"/>
    <mergeCell ref="AZ18:BB18"/>
    <mergeCell ref="BC18:BH18"/>
    <mergeCell ref="B18:D18"/>
    <mergeCell ref="E18:J18"/>
    <mergeCell ref="L18:N18"/>
    <mergeCell ref="O18:T18"/>
    <mergeCell ref="V18:X18"/>
    <mergeCell ref="AP31:AR31"/>
    <mergeCell ref="AS31:AX31"/>
    <mergeCell ref="AZ31:BB31"/>
    <mergeCell ref="BC31:BH31"/>
    <mergeCell ref="BJ31:BL31"/>
    <mergeCell ref="BM31:BR31"/>
    <mergeCell ref="BJ29:BN29"/>
    <mergeCell ref="BO29:BR29"/>
    <mergeCell ref="B31:D31"/>
    <mergeCell ref="E31:J31"/>
    <mergeCell ref="L31:N31"/>
    <mergeCell ref="O31:T31"/>
    <mergeCell ref="V31:X31"/>
    <mergeCell ref="Y31:AD31"/>
    <mergeCell ref="AF31:AH31"/>
    <mergeCell ref="AI31:AN31"/>
    <mergeCell ref="AF29:AJ29"/>
    <mergeCell ref="AK29:AN29"/>
    <mergeCell ref="AP29:AT29"/>
    <mergeCell ref="AU29:AX29"/>
    <mergeCell ref="AZ29:BD29"/>
    <mergeCell ref="BE29:BH29"/>
    <mergeCell ref="B29:F29"/>
    <mergeCell ref="G29:J29"/>
    <mergeCell ref="BO45:BR45"/>
    <mergeCell ref="BJ44:BN44"/>
    <mergeCell ref="BO44:BR44"/>
    <mergeCell ref="B45:F45"/>
    <mergeCell ref="G45:J45"/>
    <mergeCell ref="L45:P45"/>
    <mergeCell ref="Q45:T45"/>
    <mergeCell ref="V45:Z45"/>
    <mergeCell ref="AA45:AD45"/>
    <mergeCell ref="AF45:AJ45"/>
    <mergeCell ref="AK45:AN45"/>
    <mergeCell ref="AF44:AJ44"/>
    <mergeCell ref="AK44:AN44"/>
    <mergeCell ref="AP44:AT44"/>
    <mergeCell ref="AU44:AX44"/>
    <mergeCell ref="AZ44:BD44"/>
    <mergeCell ref="BE44:BH44"/>
    <mergeCell ref="B44:F44"/>
    <mergeCell ref="G44:J44"/>
    <mergeCell ref="L44:P44"/>
    <mergeCell ref="Q44:T44"/>
    <mergeCell ref="V44:Z44"/>
    <mergeCell ref="AA44:AD44"/>
    <mergeCell ref="L47:N47"/>
    <mergeCell ref="O47:T47"/>
    <mergeCell ref="V47:X47"/>
    <mergeCell ref="Y47:AD47"/>
    <mergeCell ref="AP45:AT45"/>
    <mergeCell ref="AU45:AX45"/>
    <mergeCell ref="AZ45:BD45"/>
    <mergeCell ref="BE45:BH45"/>
    <mergeCell ref="BJ45:BN45"/>
    <mergeCell ref="BE60:BH60"/>
    <mergeCell ref="B60:F60"/>
    <mergeCell ref="G60:J60"/>
    <mergeCell ref="L60:P60"/>
    <mergeCell ref="Q60:T60"/>
    <mergeCell ref="V60:Z60"/>
    <mergeCell ref="AA60:AD60"/>
    <mergeCell ref="BJ47:BL47"/>
    <mergeCell ref="BM47:BR47"/>
    <mergeCell ref="B48:J48"/>
    <mergeCell ref="L48:T48"/>
    <mergeCell ref="V48:AD48"/>
    <mergeCell ref="AF48:AN48"/>
    <mergeCell ref="AP48:AX48"/>
    <mergeCell ref="AZ48:BH48"/>
    <mergeCell ref="BJ48:BR48"/>
    <mergeCell ref="AF47:AH47"/>
    <mergeCell ref="AI47:AN47"/>
    <mergeCell ref="AP47:AR47"/>
    <mergeCell ref="AS47:AX47"/>
    <mergeCell ref="AZ47:BB47"/>
    <mergeCell ref="BC47:BH47"/>
    <mergeCell ref="B47:D47"/>
    <mergeCell ref="E47:J47"/>
    <mergeCell ref="L61:P61"/>
    <mergeCell ref="Q61:T61"/>
    <mergeCell ref="V61:Z61"/>
    <mergeCell ref="AA61:AD61"/>
    <mergeCell ref="AF60:AJ60"/>
    <mergeCell ref="AK60:AN60"/>
    <mergeCell ref="AP60:AT60"/>
    <mergeCell ref="AU60:AX60"/>
    <mergeCell ref="AZ60:BD60"/>
    <mergeCell ref="AP63:AR63"/>
    <mergeCell ref="AS63:AX63"/>
    <mergeCell ref="AZ63:BB63"/>
    <mergeCell ref="BC63:BH63"/>
    <mergeCell ref="BJ63:BL63"/>
    <mergeCell ref="BM63:BR63"/>
    <mergeCell ref="BJ61:BN61"/>
    <mergeCell ref="BO61:BR61"/>
    <mergeCell ref="B63:D63"/>
    <mergeCell ref="E63:J63"/>
    <mergeCell ref="L63:N63"/>
    <mergeCell ref="O63:T63"/>
    <mergeCell ref="V63:X63"/>
    <mergeCell ref="Y63:AD63"/>
    <mergeCell ref="AF63:AH63"/>
    <mergeCell ref="AI63:AN63"/>
    <mergeCell ref="AF61:AJ61"/>
    <mergeCell ref="AK61:AN61"/>
    <mergeCell ref="AP61:AT61"/>
    <mergeCell ref="AU61:AX61"/>
    <mergeCell ref="AZ61:BD61"/>
    <mergeCell ref="BE61:BH61"/>
    <mergeCell ref="B61:F61"/>
    <mergeCell ref="G61:J61"/>
    <mergeCell ref="BJ64:BR64"/>
    <mergeCell ref="B76:F76"/>
    <mergeCell ref="G76:J76"/>
    <mergeCell ref="L76:P76"/>
    <mergeCell ref="Q76:T76"/>
    <mergeCell ref="V76:Z76"/>
    <mergeCell ref="AA76:AD76"/>
    <mergeCell ref="AF76:AJ76"/>
    <mergeCell ref="AK76:AN76"/>
    <mergeCell ref="AP76:AT76"/>
    <mergeCell ref="B64:J64"/>
    <mergeCell ref="L64:T64"/>
    <mergeCell ref="V64:AD64"/>
    <mergeCell ref="AF64:AN64"/>
    <mergeCell ref="AP64:AX64"/>
    <mergeCell ref="AZ64:BH64"/>
    <mergeCell ref="AU76:AX76"/>
    <mergeCell ref="AZ76:BD76"/>
    <mergeCell ref="BE76:BH76"/>
    <mergeCell ref="BJ76:BN76"/>
    <mergeCell ref="BO76:BR76"/>
    <mergeCell ref="BJ77:BN77"/>
    <mergeCell ref="BO77:BR77"/>
    <mergeCell ref="B79:D79"/>
    <mergeCell ref="E79:J79"/>
    <mergeCell ref="L79:N79"/>
    <mergeCell ref="O79:T79"/>
    <mergeCell ref="V79:X79"/>
    <mergeCell ref="Y79:AD79"/>
    <mergeCell ref="AF79:AH79"/>
    <mergeCell ref="AA77:AD77"/>
    <mergeCell ref="AF77:AJ77"/>
    <mergeCell ref="AK77:AN77"/>
    <mergeCell ref="AP77:AT77"/>
    <mergeCell ref="AU77:AX77"/>
    <mergeCell ref="AZ77:BD77"/>
    <mergeCell ref="BM79:BR79"/>
    <mergeCell ref="AM92:AN92"/>
    <mergeCell ref="AP92:AT92"/>
    <mergeCell ref="AU92:AV92"/>
    <mergeCell ref="B77:F77"/>
    <mergeCell ref="G77:J77"/>
    <mergeCell ref="L77:P77"/>
    <mergeCell ref="Q77:T77"/>
    <mergeCell ref="V77:Z77"/>
    <mergeCell ref="BE77:BH77"/>
    <mergeCell ref="B93:F93"/>
    <mergeCell ref="G93:J93"/>
    <mergeCell ref="L93:P93"/>
    <mergeCell ref="BT93:BX93"/>
    <mergeCell ref="BY93:CB93"/>
    <mergeCell ref="BT79:BV79"/>
    <mergeCell ref="BW79:CB79"/>
    <mergeCell ref="B80:J80"/>
    <mergeCell ref="L80:T80"/>
    <mergeCell ref="V80:AD80"/>
    <mergeCell ref="AF80:AN80"/>
    <mergeCell ref="AP80:AX80"/>
    <mergeCell ref="AZ80:BH80"/>
    <mergeCell ref="BJ80:BR80"/>
    <mergeCell ref="AI79:AN79"/>
    <mergeCell ref="AP79:AR79"/>
    <mergeCell ref="AS79:AX79"/>
    <mergeCell ref="AZ79:BB79"/>
    <mergeCell ref="BC79:BH79"/>
    <mergeCell ref="BJ79:BL79"/>
    <mergeCell ref="BT91:BX91"/>
    <mergeCell ref="BY91:CB91"/>
    <mergeCell ref="AF92:AJ92"/>
    <mergeCell ref="AK92:AL92"/>
    <mergeCell ref="Q93:T93"/>
    <mergeCell ref="V93:Z93"/>
    <mergeCell ref="AA93:AD93"/>
    <mergeCell ref="AW92:AX92"/>
    <mergeCell ref="AZ92:BD92"/>
    <mergeCell ref="BE92:BF92"/>
    <mergeCell ref="B2:BR2"/>
    <mergeCell ref="BJ1:BS1"/>
    <mergeCell ref="AZ93:BD93"/>
    <mergeCell ref="BE93:BF93"/>
    <mergeCell ref="BG93:BH93"/>
    <mergeCell ref="BJ93:BN93"/>
    <mergeCell ref="BO93:BP93"/>
    <mergeCell ref="BQ93:BR93"/>
    <mergeCell ref="AF93:AJ93"/>
    <mergeCell ref="AK93:AL93"/>
    <mergeCell ref="AM93:AN93"/>
    <mergeCell ref="AP93:AT93"/>
    <mergeCell ref="AU93:AV93"/>
    <mergeCell ref="AW93:AX93"/>
    <mergeCell ref="BG92:BH92"/>
    <mergeCell ref="BJ92:BN92"/>
    <mergeCell ref="BO92:BP92"/>
    <mergeCell ref="BQ92:BR92"/>
  </mergeCells>
  <hyperlinks>
    <hyperlink ref="BJ1:BS1" location="ОГЛАВЛЕНИЕ!R1C1" display="ОГЛАВЛЕНИЕ!R1C1" xr:uid="{E6DACBBF-DE37-4AD5-910D-B0CCAF5960DC}"/>
  </hyperlinks>
  <pageMargins left="0.23622047244094491" right="0.23622047244094491" top="0.35433070866141736" bottom="0.35433070866141736" header="0.31496062992125984" footer="0.31496062992125984"/>
  <pageSetup paperSize="9" scale="85"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26C-A901-4B58-ABC6-25F758045FEA}">
  <sheetPr>
    <tabColor theme="5" tint="0.59999389629810485"/>
  </sheetPr>
  <dimension ref="A1:N9"/>
  <sheetViews>
    <sheetView workbookViewId="0">
      <selection activeCell="E1" sqref="E1"/>
    </sheetView>
  </sheetViews>
  <sheetFormatPr defaultRowHeight="14.25" x14ac:dyDescent="0.25"/>
  <cols>
    <col min="1" max="1" width="5.7109375" style="252" customWidth="1"/>
    <col min="2" max="2" width="32" style="264" customWidth="1"/>
    <col min="3" max="3" width="37.28515625" style="264" customWidth="1"/>
    <col min="4" max="4" width="48" style="264" customWidth="1"/>
    <col min="5" max="5" width="13.140625" style="264" customWidth="1"/>
    <col min="6" max="16384" width="9.140625" style="252"/>
  </cols>
  <sheetData>
    <row r="1" spans="1:14" ht="90.95" customHeight="1" x14ac:dyDescent="0.25">
      <c r="A1" s="447"/>
      <c r="B1" s="447"/>
      <c r="C1" s="447"/>
      <c r="D1" s="447"/>
      <c r="E1" s="267" t="s">
        <v>0</v>
      </c>
      <c r="F1" s="254"/>
      <c r="G1" s="254"/>
      <c r="H1" s="254"/>
      <c r="I1" s="254"/>
      <c r="J1" s="254"/>
      <c r="K1" s="254"/>
      <c r="L1" s="254"/>
      <c r="M1" s="254"/>
      <c r="N1" s="254"/>
    </row>
    <row r="2" spans="1:14" x14ac:dyDescent="0.25">
      <c r="A2" s="446" t="s">
        <v>728</v>
      </c>
      <c r="B2" s="446"/>
      <c r="C2" s="446"/>
      <c r="D2" s="446"/>
      <c r="E2" s="446"/>
    </row>
    <row r="3" spans="1:14" ht="18" customHeight="1" x14ac:dyDescent="0.25">
      <c r="A3" s="265">
        <v>2</v>
      </c>
      <c r="B3" s="451" t="s">
        <v>720</v>
      </c>
      <c r="C3" s="451"/>
      <c r="D3" s="451"/>
      <c r="E3" s="452"/>
    </row>
    <row r="4" spans="1:14" ht="261" customHeight="1" x14ac:dyDescent="0.25">
      <c r="A4" s="270"/>
      <c r="B4" s="271"/>
      <c r="C4" s="271"/>
      <c r="D4" s="271"/>
      <c r="E4" s="272"/>
    </row>
    <row r="5" spans="1:14" ht="27" customHeight="1" x14ac:dyDescent="0.25">
      <c r="A5" s="257" t="s">
        <v>671</v>
      </c>
      <c r="B5" s="266" t="s">
        <v>672</v>
      </c>
      <c r="C5" s="266" t="s">
        <v>673</v>
      </c>
      <c r="D5" s="266" t="s">
        <v>674</v>
      </c>
      <c r="E5" s="257" t="s">
        <v>675</v>
      </c>
    </row>
    <row r="6" spans="1:14" ht="255" customHeight="1" x14ac:dyDescent="0.25">
      <c r="A6" s="266">
        <v>1</v>
      </c>
      <c r="B6" s="261" t="s">
        <v>722</v>
      </c>
      <c r="C6" s="475"/>
      <c r="D6" s="476"/>
      <c r="E6" s="263" t="s">
        <v>721</v>
      </c>
    </row>
    <row r="7" spans="1:14" ht="255" customHeight="1" x14ac:dyDescent="0.25">
      <c r="A7" s="266">
        <v>2</v>
      </c>
      <c r="B7" s="261" t="s">
        <v>723</v>
      </c>
      <c r="C7" s="475"/>
      <c r="D7" s="476"/>
      <c r="E7" s="263" t="s">
        <v>721</v>
      </c>
    </row>
    <row r="8" spans="1:14" ht="255" customHeight="1" x14ac:dyDescent="0.25">
      <c r="A8" s="266">
        <v>3</v>
      </c>
      <c r="B8" s="261" t="s">
        <v>724</v>
      </c>
      <c r="C8" s="475"/>
      <c r="D8" s="476"/>
      <c r="E8" s="263" t="s">
        <v>721</v>
      </c>
    </row>
    <row r="9" spans="1:14" ht="255" customHeight="1" x14ac:dyDescent="0.25">
      <c r="A9" s="266">
        <v>4</v>
      </c>
      <c r="B9" s="261" t="s">
        <v>725</v>
      </c>
      <c r="C9" s="475"/>
      <c r="D9" s="476"/>
      <c r="E9" s="263" t="s">
        <v>721</v>
      </c>
    </row>
  </sheetData>
  <mergeCells count="7">
    <mergeCell ref="C8:D8"/>
    <mergeCell ref="C9:D9"/>
    <mergeCell ref="A1:D1"/>
    <mergeCell ref="A2:E2"/>
    <mergeCell ref="B3:E3"/>
    <mergeCell ref="C6:D6"/>
    <mergeCell ref="C7:D7"/>
  </mergeCells>
  <hyperlinks>
    <hyperlink ref="E1" location="ОГЛАВЛЕНИЕ!R1C1" display="ОГЛАВЛЕНИЕ!R1C1" xr:uid="{9B0B8A25-1E1F-440F-AEB2-32A2F2B2D62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2CDB-AF9F-4706-9A29-AEC99B45B2D5}">
  <sheetPr>
    <tabColor theme="5" tint="0.59999389629810485"/>
  </sheetPr>
  <dimension ref="A1:CB97"/>
  <sheetViews>
    <sheetView showGridLines="0" showWhiteSpace="0" topLeftCell="A8" zoomScaleNormal="100" zoomScaleSheetLayoutView="100" workbookViewId="0"/>
  </sheetViews>
  <sheetFormatPr defaultRowHeight="8.25" x14ac:dyDescent="0.25"/>
  <cols>
    <col min="1" max="1" width="0.28515625" style="122" customWidth="1"/>
    <col min="2" max="4" width="1.7109375" style="122" customWidth="1"/>
    <col min="5" max="5" width="2.7109375" style="122" customWidth="1"/>
    <col min="6" max="6" width="2.140625" style="122" customWidth="1"/>
    <col min="7" max="9" width="1.7109375" style="122" customWidth="1"/>
    <col min="10" max="10" width="1.42578125" style="122" customWidth="1"/>
    <col min="11" max="11" width="0.28515625" style="122" customWidth="1"/>
    <col min="12" max="14" width="1.7109375" style="122" customWidth="1"/>
    <col min="15" max="15" width="2.140625" style="122" customWidth="1"/>
    <col min="16" max="16" width="2.28515625" style="122" customWidth="1"/>
    <col min="17" max="17" width="1.7109375" style="122" customWidth="1"/>
    <col min="18" max="18" width="2.5703125" style="122" customWidth="1"/>
    <col min="19" max="19" width="1.7109375" style="122" customWidth="1"/>
    <col min="20" max="20" width="1" style="122" customWidth="1"/>
    <col min="21" max="21" width="0.28515625" style="122" customWidth="1"/>
    <col min="22" max="25" width="1.7109375" style="122" customWidth="1"/>
    <col min="26" max="26" width="2.28515625" style="122" customWidth="1"/>
    <col min="27" max="27" width="2.42578125" style="122" customWidth="1"/>
    <col min="28" max="28" width="1.7109375" style="122" customWidth="1"/>
    <col min="29" max="29" width="2.7109375" style="122" customWidth="1"/>
    <col min="30" max="30" width="1.140625" style="122" customWidth="1"/>
    <col min="31" max="31" width="0.28515625" style="122" customWidth="1"/>
    <col min="32" max="33" width="1.7109375" style="122" customWidth="1"/>
    <col min="34" max="34" width="2.140625" style="122" customWidth="1"/>
    <col min="35" max="35" width="3.140625" style="122" customWidth="1"/>
    <col min="36" max="36" width="2" style="122" customWidth="1"/>
    <col min="37" max="37" width="2.140625" style="122" customWidth="1"/>
    <col min="38" max="39" width="1.7109375" style="122" customWidth="1"/>
    <col min="40" max="40" width="1" style="122" customWidth="1"/>
    <col min="41" max="41" width="0.28515625" style="122" customWidth="1"/>
    <col min="42" max="45" width="1.7109375" style="122" customWidth="1"/>
    <col min="46" max="46" width="2.85546875" style="122" customWidth="1"/>
    <col min="47" max="48" width="1.7109375" style="122" customWidth="1"/>
    <col min="49" max="49" width="2.7109375" style="122" customWidth="1"/>
    <col min="50" max="50" width="1.7109375" style="122" customWidth="1"/>
    <col min="51" max="51" width="0.28515625" style="122" customWidth="1"/>
    <col min="52" max="53" width="1.7109375" style="122" customWidth="1"/>
    <col min="54" max="54" width="1.85546875" style="122" customWidth="1"/>
    <col min="55" max="55" width="2.28515625" style="122" customWidth="1"/>
    <col min="56" max="58" width="1.7109375" style="122" customWidth="1"/>
    <col min="59" max="59" width="3.5703125" style="122" customWidth="1"/>
    <col min="60" max="60" width="1.7109375" style="122" customWidth="1"/>
    <col min="61" max="61" width="0.28515625" style="122" customWidth="1"/>
    <col min="62" max="65" width="1.7109375" style="122" customWidth="1"/>
    <col min="66" max="66" width="2.5703125" style="122" customWidth="1"/>
    <col min="67" max="69" width="1.7109375" style="122" customWidth="1"/>
    <col min="70" max="70" width="2.85546875" style="122" customWidth="1"/>
    <col min="71" max="71" width="0.28515625" style="122" customWidth="1"/>
    <col min="72" max="80" width="1.7109375" style="122" customWidth="1"/>
    <col min="81" max="233" width="9.140625" style="122"/>
    <col min="234" max="234" width="0.28515625" style="122" customWidth="1"/>
    <col min="235" max="243" width="1.7109375" style="122" customWidth="1"/>
    <col min="244" max="244" width="0.28515625" style="122" customWidth="1"/>
    <col min="245" max="253" width="1.7109375" style="122" customWidth="1"/>
    <col min="254" max="254" width="0.28515625" style="122" customWidth="1"/>
    <col min="255" max="263" width="1.7109375" style="122" customWidth="1"/>
    <col min="264" max="264" width="0.28515625" style="122" customWidth="1"/>
    <col min="265" max="273" width="1.7109375" style="122" customWidth="1"/>
    <col min="274" max="274" width="0.28515625" style="122" customWidth="1"/>
    <col min="275" max="283" width="1.7109375" style="122" customWidth="1"/>
    <col min="284" max="284" width="0.28515625" style="122" customWidth="1"/>
    <col min="285" max="293" width="1.7109375" style="122" customWidth="1"/>
    <col min="294" max="294" width="0.28515625" style="122" customWidth="1"/>
    <col min="295" max="303" width="1.7109375" style="122" customWidth="1"/>
    <col min="304" max="304" width="0.28515625" style="122" customWidth="1"/>
    <col min="305" max="313" width="1.7109375" style="122" customWidth="1"/>
    <col min="314" max="489" width="9.140625" style="122"/>
    <col min="490" max="490" width="0.28515625" style="122" customWidth="1"/>
    <col min="491" max="499" width="1.7109375" style="122" customWidth="1"/>
    <col min="500" max="500" width="0.28515625" style="122" customWidth="1"/>
    <col min="501" max="509" width="1.7109375" style="122" customWidth="1"/>
    <col min="510" max="510" width="0.28515625" style="122" customWidth="1"/>
    <col min="511" max="519" width="1.7109375" style="122" customWidth="1"/>
    <col min="520" max="520" width="0.28515625" style="122" customWidth="1"/>
    <col min="521" max="529" width="1.7109375" style="122" customWidth="1"/>
    <col min="530" max="530" width="0.28515625" style="122" customWidth="1"/>
    <col min="531" max="539" width="1.7109375" style="122" customWidth="1"/>
    <col min="540" max="540" width="0.28515625" style="122" customWidth="1"/>
    <col min="541" max="549" width="1.7109375" style="122" customWidth="1"/>
    <col min="550" max="550" width="0.28515625" style="122" customWidth="1"/>
    <col min="551" max="559" width="1.7109375" style="122" customWidth="1"/>
    <col min="560" max="560" width="0.28515625" style="122" customWidth="1"/>
    <col min="561" max="569" width="1.7109375" style="122" customWidth="1"/>
    <col min="570" max="745" width="9.140625" style="122"/>
    <col min="746" max="746" width="0.28515625" style="122" customWidth="1"/>
    <col min="747" max="755" width="1.7109375" style="122" customWidth="1"/>
    <col min="756" max="756" width="0.28515625" style="122" customWidth="1"/>
    <col min="757" max="765" width="1.7109375" style="122" customWidth="1"/>
    <col min="766" max="766" width="0.28515625" style="122" customWidth="1"/>
    <col min="767" max="775" width="1.7109375" style="122" customWidth="1"/>
    <col min="776" max="776" width="0.28515625" style="122" customWidth="1"/>
    <col min="777" max="785" width="1.7109375" style="122" customWidth="1"/>
    <col min="786" max="786" width="0.28515625" style="122" customWidth="1"/>
    <col min="787" max="795" width="1.7109375" style="122" customWidth="1"/>
    <col min="796" max="796" width="0.28515625" style="122" customWidth="1"/>
    <col min="797" max="805" width="1.7109375" style="122" customWidth="1"/>
    <col min="806" max="806" width="0.28515625" style="122" customWidth="1"/>
    <col min="807" max="815" width="1.7109375" style="122" customWidth="1"/>
    <col min="816" max="816" width="0.28515625" style="122" customWidth="1"/>
    <col min="817" max="825" width="1.7109375" style="122" customWidth="1"/>
    <col min="826" max="1001" width="9.140625" style="122"/>
    <col min="1002" max="1002" width="0.28515625" style="122" customWidth="1"/>
    <col min="1003" max="1011" width="1.7109375" style="122" customWidth="1"/>
    <col min="1012" max="1012" width="0.28515625" style="122" customWidth="1"/>
    <col min="1013" max="1021" width="1.7109375" style="122" customWidth="1"/>
    <col min="1022" max="1022" width="0.28515625" style="122" customWidth="1"/>
    <col min="1023" max="1031" width="1.7109375" style="122" customWidth="1"/>
    <col min="1032" max="1032" width="0.28515625" style="122" customWidth="1"/>
    <col min="1033" max="1041" width="1.7109375" style="122" customWidth="1"/>
    <col min="1042" max="1042" width="0.28515625" style="122" customWidth="1"/>
    <col min="1043" max="1051" width="1.7109375" style="122" customWidth="1"/>
    <col min="1052" max="1052" width="0.28515625" style="122" customWidth="1"/>
    <col min="1053" max="1061" width="1.7109375" style="122" customWidth="1"/>
    <col min="1062" max="1062" width="0.28515625" style="122" customWidth="1"/>
    <col min="1063" max="1071" width="1.7109375" style="122" customWidth="1"/>
    <col min="1072" max="1072" width="0.28515625" style="122" customWidth="1"/>
    <col min="1073" max="1081" width="1.7109375" style="122" customWidth="1"/>
    <col min="1082" max="1257" width="9.140625" style="122"/>
    <col min="1258" max="1258" width="0.28515625" style="122" customWidth="1"/>
    <col min="1259" max="1267" width="1.7109375" style="122" customWidth="1"/>
    <col min="1268" max="1268" width="0.28515625" style="122" customWidth="1"/>
    <col min="1269" max="1277" width="1.7109375" style="122" customWidth="1"/>
    <col min="1278" max="1278" width="0.28515625" style="122" customWidth="1"/>
    <col min="1279" max="1287" width="1.7109375" style="122" customWidth="1"/>
    <col min="1288" max="1288" width="0.28515625" style="122" customWidth="1"/>
    <col min="1289" max="1297" width="1.7109375" style="122" customWidth="1"/>
    <col min="1298" max="1298" width="0.28515625" style="122" customWidth="1"/>
    <col min="1299" max="1307" width="1.7109375" style="122" customWidth="1"/>
    <col min="1308" max="1308" width="0.28515625" style="122" customWidth="1"/>
    <col min="1309" max="1317" width="1.7109375" style="122" customWidth="1"/>
    <col min="1318" max="1318" width="0.28515625" style="122" customWidth="1"/>
    <col min="1319" max="1327" width="1.7109375" style="122" customWidth="1"/>
    <col min="1328" max="1328" width="0.28515625" style="122" customWidth="1"/>
    <col min="1329" max="1337" width="1.7109375" style="122" customWidth="1"/>
    <col min="1338" max="1513" width="9.140625" style="122"/>
    <col min="1514" max="1514" width="0.28515625" style="122" customWidth="1"/>
    <col min="1515" max="1523" width="1.7109375" style="122" customWidth="1"/>
    <col min="1524" max="1524" width="0.28515625" style="122" customWidth="1"/>
    <col min="1525" max="1533" width="1.7109375" style="122" customWidth="1"/>
    <col min="1534" max="1534" width="0.28515625" style="122" customWidth="1"/>
    <col min="1535" max="1543" width="1.7109375" style="122" customWidth="1"/>
    <col min="1544" max="1544" width="0.28515625" style="122" customWidth="1"/>
    <col min="1545" max="1553" width="1.7109375" style="122" customWidth="1"/>
    <col min="1554" max="1554" width="0.28515625" style="122" customWidth="1"/>
    <col min="1555" max="1563" width="1.7109375" style="122" customWidth="1"/>
    <col min="1564" max="1564" width="0.28515625" style="122" customWidth="1"/>
    <col min="1565" max="1573" width="1.7109375" style="122" customWidth="1"/>
    <col min="1574" max="1574" width="0.28515625" style="122" customWidth="1"/>
    <col min="1575" max="1583" width="1.7109375" style="122" customWidth="1"/>
    <col min="1584" max="1584" width="0.28515625" style="122" customWidth="1"/>
    <col min="1585" max="1593" width="1.7109375" style="122" customWidth="1"/>
    <col min="1594" max="1769" width="9.140625" style="122"/>
    <col min="1770" max="1770" width="0.28515625" style="122" customWidth="1"/>
    <col min="1771" max="1779" width="1.7109375" style="122" customWidth="1"/>
    <col min="1780" max="1780" width="0.28515625" style="122" customWidth="1"/>
    <col min="1781" max="1789" width="1.7109375" style="122" customWidth="1"/>
    <col min="1790" max="1790" width="0.28515625" style="122" customWidth="1"/>
    <col min="1791" max="1799" width="1.7109375" style="122" customWidth="1"/>
    <col min="1800" max="1800" width="0.28515625" style="122" customWidth="1"/>
    <col min="1801" max="1809" width="1.7109375" style="122" customWidth="1"/>
    <col min="1810" max="1810" width="0.28515625" style="122" customWidth="1"/>
    <col min="1811" max="1819" width="1.7109375" style="122" customWidth="1"/>
    <col min="1820" max="1820" width="0.28515625" style="122" customWidth="1"/>
    <col min="1821" max="1829" width="1.7109375" style="122" customWidth="1"/>
    <col min="1830" max="1830" width="0.28515625" style="122" customWidth="1"/>
    <col min="1831" max="1839" width="1.7109375" style="122" customWidth="1"/>
    <col min="1840" max="1840" width="0.28515625" style="122" customWidth="1"/>
    <col min="1841" max="1849" width="1.7109375" style="122" customWidth="1"/>
    <col min="1850" max="2025" width="9.140625" style="122"/>
    <col min="2026" max="2026" width="0.28515625" style="122" customWidth="1"/>
    <col min="2027" max="2035" width="1.7109375" style="122" customWidth="1"/>
    <col min="2036" max="2036" width="0.28515625" style="122" customWidth="1"/>
    <col min="2037" max="2045" width="1.7109375" style="122" customWidth="1"/>
    <col min="2046" max="2046" width="0.28515625" style="122" customWidth="1"/>
    <col min="2047" max="2055" width="1.7109375" style="122" customWidth="1"/>
    <col min="2056" max="2056" width="0.28515625" style="122" customWidth="1"/>
    <col min="2057" max="2065" width="1.7109375" style="122" customWidth="1"/>
    <col min="2066" max="2066" width="0.28515625" style="122" customWidth="1"/>
    <col min="2067" max="2075" width="1.7109375" style="122" customWidth="1"/>
    <col min="2076" max="2076" width="0.28515625" style="122" customWidth="1"/>
    <col min="2077" max="2085" width="1.7109375" style="122" customWidth="1"/>
    <col min="2086" max="2086" width="0.28515625" style="122" customWidth="1"/>
    <col min="2087" max="2095" width="1.7109375" style="122" customWidth="1"/>
    <col min="2096" max="2096" width="0.28515625" style="122" customWidth="1"/>
    <col min="2097" max="2105" width="1.7109375" style="122" customWidth="1"/>
    <col min="2106" max="2281" width="9.140625" style="122"/>
    <col min="2282" max="2282" width="0.28515625" style="122" customWidth="1"/>
    <col min="2283" max="2291" width="1.7109375" style="122" customWidth="1"/>
    <col min="2292" max="2292" width="0.28515625" style="122" customWidth="1"/>
    <col min="2293" max="2301" width="1.7109375" style="122" customWidth="1"/>
    <col min="2302" max="2302" width="0.28515625" style="122" customWidth="1"/>
    <col min="2303" max="2311" width="1.7109375" style="122" customWidth="1"/>
    <col min="2312" max="2312" width="0.28515625" style="122" customWidth="1"/>
    <col min="2313" max="2321" width="1.7109375" style="122" customWidth="1"/>
    <col min="2322" max="2322" width="0.28515625" style="122" customWidth="1"/>
    <col min="2323" max="2331" width="1.7109375" style="122" customWidth="1"/>
    <col min="2332" max="2332" width="0.28515625" style="122" customWidth="1"/>
    <col min="2333" max="2341" width="1.7109375" style="122" customWidth="1"/>
    <col min="2342" max="2342" width="0.28515625" style="122" customWidth="1"/>
    <col min="2343" max="2351" width="1.7109375" style="122" customWidth="1"/>
    <col min="2352" max="2352" width="0.28515625" style="122" customWidth="1"/>
    <col min="2353" max="2361" width="1.7109375" style="122" customWidth="1"/>
    <col min="2362" max="2537" width="9.140625" style="122"/>
    <col min="2538" max="2538" width="0.28515625" style="122" customWidth="1"/>
    <col min="2539" max="2547" width="1.7109375" style="122" customWidth="1"/>
    <col min="2548" max="2548" width="0.28515625" style="122" customWidth="1"/>
    <col min="2549" max="2557" width="1.7109375" style="122" customWidth="1"/>
    <col min="2558" max="2558" width="0.28515625" style="122" customWidth="1"/>
    <col min="2559" max="2567" width="1.7109375" style="122" customWidth="1"/>
    <col min="2568" max="2568" width="0.28515625" style="122" customWidth="1"/>
    <col min="2569" max="2577" width="1.7109375" style="122" customWidth="1"/>
    <col min="2578" max="2578" width="0.28515625" style="122" customWidth="1"/>
    <col min="2579" max="2587" width="1.7109375" style="122" customWidth="1"/>
    <col min="2588" max="2588" width="0.28515625" style="122" customWidth="1"/>
    <col min="2589" max="2597" width="1.7109375" style="122" customWidth="1"/>
    <col min="2598" max="2598" width="0.28515625" style="122" customWidth="1"/>
    <col min="2599" max="2607" width="1.7109375" style="122" customWidth="1"/>
    <col min="2608" max="2608" width="0.28515625" style="122" customWidth="1"/>
    <col min="2609" max="2617" width="1.7109375" style="122" customWidth="1"/>
    <col min="2618" max="2793" width="9.140625" style="122"/>
    <col min="2794" max="2794" width="0.28515625" style="122" customWidth="1"/>
    <col min="2795" max="2803" width="1.7109375" style="122" customWidth="1"/>
    <col min="2804" max="2804" width="0.28515625" style="122" customWidth="1"/>
    <col min="2805" max="2813" width="1.7109375" style="122" customWidth="1"/>
    <col min="2814" max="2814" width="0.28515625" style="122" customWidth="1"/>
    <col min="2815" max="2823" width="1.7109375" style="122" customWidth="1"/>
    <col min="2824" max="2824" width="0.28515625" style="122" customWidth="1"/>
    <col min="2825" max="2833" width="1.7109375" style="122" customWidth="1"/>
    <col min="2834" max="2834" width="0.28515625" style="122" customWidth="1"/>
    <col min="2835" max="2843" width="1.7109375" style="122" customWidth="1"/>
    <col min="2844" max="2844" width="0.28515625" style="122" customWidth="1"/>
    <col min="2845" max="2853" width="1.7109375" style="122" customWidth="1"/>
    <col min="2854" max="2854" width="0.28515625" style="122" customWidth="1"/>
    <col min="2855" max="2863" width="1.7109375" style="122" customWidth="1"/>
    <col min="2864" max="2864" width="0.28515625" style="122" customWidth="1"/>
    <col min="2865" max="2873" width="1.7109375" style="122" customWidth="1"/>
    <col min="2874" max="3049" width="9.140625" style="122"/>
    <col min="3050" max="3050" width="0.28515625" style="122" customWidth="1"/>
    <col min="3051" max="3059" width="1.7109375" style="122" customWidth="1"/>
    <col min="3060" max="3060" width="0.28515625" style="122" customWidth="1"/>
    <col min="3061" max="3069" width="1.7109375" style="122" customWidth="1"/>
    <col min="3070" max="3070" width="0.28515625" style="122" customWidth="1"/>
    <col min="3071" max="3079" width="1.7109375" style="122" customWidth="1"/>
    <col min="3080" max="3080" width="0.28515625" style="122" customWidth="1"/>
    <col min="3081" max="3089" width="1.7109375" style="122" customWidth="1"/>
    <col min="3090" max="3090" width="0.28515625" style="122" customWidth="1"/>
    <col min="3091" max="3099" width="1.7109375" style="122" customWidth="1"/>
    <col min="3100" max="3100" width="0.28515625" style="122" customWidth="1"/>
    <col min="3101" max="3109" width="1.7109375" style="122" customWidth="1"/>
    <col min="3110" max="3110" width="0.28515625" style="122" customWidth="1"/>
    <col min="3111" max="3119" width="1.7109375" style="122" customWidth="1"/>
    <col min="3120" max="3120" width="0.28515625" style="122" customWidth="1"/>
    <col min="3121" max="3129" width="1.7109375" style="122" customWidth="1"/>
    <col min="3130" max="3305" width="9.140625" style="122"/>
    <col min="3306" max="3306" width="0.28515625" style="122" customWidth="1"/>
    <col min="3307" max="3315" width="1.7109375" style="122" customWidth="1"/>
    <col min="3316" max="3316" width="0.28515625" style="122" customWidth="1"/>
    <col min="3317" max="3325" width="1.7109375" style="122" customWidth="1"/>
    <col min="3326" max="3326" width="0.28515625" style="122" customWidth="1"/>
    <col min="3327" max="3335" width="1.7109375" style="122" customWidth="1"/>
    <col min="3336" max="3336" width="0.28515625" style="122" customWidth="1"/>
    <col min="3337" max="3345" width="1.7109375" style="122" customWidth="1"/>
    <col min="3346" max="3346" width="0.28515625" style="122" customWidth="1"/>
    <col min="3347" max="3355" width="1.7109375" style="122" customWidth="1"/>
    <col min="3356" max="3356" width="0.28515625" style="122" customWidth="1"/>
    <col min="3357" max="3365" width="1.7109375" style="122" customWidth="1"/>
    <col min="3366" max="3366" width="0.28515625" style="122" customWidth="1"/>
    <col min="3367" max="3375" width="1.7109375" style="122" customWidth="1"/>
    <col min="3376" max="3376" width="0.28515625" style="122" customWidth="1"/>
    <col min="3377" max="3385" width="1.7109375" style="122" customWidth="1"/>
    <col min="3386" max="3561" width="9.140625" style="122"/>
    <col min="3562" max="3562" width="0.28515625" style="122" customWidth="1"/>
    <col min="3563" max="3571" width="1.7109375" style="122" customWidth="1"/>
    <col min="3572" max="3572" width="0.28515625" style="122" customWidth="1"/>
    <col min="3573" max="3581" width="1.7109375" style="122" customWidth="1"/>
    <col min="3582" max="3582" width="0.28515625" style="122" customWidth="1"/>
    <col min="3583" max="3591" width="1.7109375" style="122" customWidth="1"/>
    <col min="3592" max="3592" width="0.28515625" style="122" customWidth="1"/>
    <col min="3593" max="3601" width="1.7109375" style="122" customWidth="1"/>
    <col min="3602" max="3602" width="0.28515625" style="122" customWidth="1"/>
    <col min="3603" max="3611" width="1.7109375" style="122" customWidth="1"/>
    <col min="3612" max="3612" width="0.28515625" style="122" customWidth="1"/>
    <col min="3613" max="3621" width="1.7109375" style="122" customWidth="1"/>
    <col min="3622" max="3622" width="0.28515625" style="122" customWidth="1"/>
    <col min="3623" max="3631" width="1.7109375" style="122" customWidth="1"/>
    <col min="3632" max="3632" width="0.28515625" style="122" customWidth="1"/>
    <col min="3633" max="3641" width="1.7109375" style="122" customWidth="1"/>
    <col min="3642" max="3817" width="9.140625" style="122"/>
    <col min="3818" max="3818" width="0.28515625" style="122" customWidth="1"/>
    <col min="3819" max="3827" width="1.7109375" style="122" customWidth="1"/>
    <col min="3828" max="3828" width="0.28515625" style="122" customWidth="1"/>
    <col min="3829" max="3837" width="1.7109375" style="122" customWidth="1"/>
    <col min="3838" max="3838" width="0.28515625" style="122" customWidth="1"/>
    <col min="3839" max="3847" width="1.7109375" style="122" customWidth="1"/>
    <col min="3848" max="3848" width="0.28515625" style="122" customWidth="1"/>
    <col min="3849" max="3857" width="1.7109375" style="122" customWidth="1"/>
    <col min="3858" max="3858" width="0.28515625" style="122" customWidth="1"/>
    <col min="3859" max="3867" width="1.7109375" style="122" customWidth="1"/>
    <col min="3868" max="3868" width="0.28515625" style="122" customWidth="1"/>
    <col min="3869" max="3877" width="1.7109375" style="122" customWidth="1"/>
    <col min="3878" max="3878" width="0.28515625" style="122" customWidth="1"/>
    <col min="3879" max="3887" width="1.7109375" style="122" customWidth="1"/>
    <col min="3888" max="3888" width="0.28515625" style="122" customWidth="1"/>
    <col min="3889" max="3897" width="1.7109375" style="122" customWidth="1"/>
    <col min="3898" max="4073" width="9.140625" style="122"/>
    <col min="4074" max="4074" width="0.28515625" style="122" customWidth="1"/>
    <col min="4075" max="4083" width="1.7109375" style="122" customWidth="1"/>
    <col min="4084" max="4084" width="0.28515625" style="122" customWidth="1"/>
    <col min="4085" max="4093" width="1.7109375" style="122" customWidth="1"/>
    <col min="4094" max="4094" width="0.28515625" style="122" customWidth="1"/>
    <col min="4095" max="4103" width="1.7109375" style="122" customWidth="1"/>
    <col min="4104" max="4104" width="0.28515625" style="122" customWidth="1"/>
    <col min="4105" max="4113" width="1.7109375" style="122" customWidth="1"/>
    <col min="4114" max="4114" width="0.28515625" style="122" customWidth="1"/>
    <col min="4115" max="4123" width="1.7109375" style="122" customWidth="1"/>
    <col min="4124" max="4124" width="0.28515625" style="122" customWidth="1"/>
    <col min="4125" max="4133" width="1.7109375" style="122" customWidth="1"/>
    <col min="4134" max="4134" width="0.28515625" style="122" customWidth="1"/>
    <col min="4135" max="4143" width="1.7109375" style="122" customWidth="1"/>
    <col min="4144" max="4144" width="0.28515625" style="122" customWidth="1"/>
    <col min="4145" max="4153" width="1.7109375" style="122" customWidth="1"/>
    <col min="4154" max="4329" width="9.140625" style="122"/>
    <col min="4330" max="4330" width="0.28515625" style="122" customWidth="1"/>
    <col min="4331" max="4339" width="1.7109375" style="122" customWidth="1"/>
    <col min="4340" max="4340" width="0.28515625" style="122" customWidth="1"/>
    <col min="4341" max="4349" width="1.7109375" style="122" customWidth="1"/>
    <col min="4350" max="4350" width="0.28515625" style="122" customWidth="1"/>
    <col min="4351" max="4359" width="1.7109375" style="122" customWidth="1"/>
    <col min="4360" max="4360" width="0.28515625" style="122" customWidth="1"/>
    <col min="4361" max="4369" width="1.7109375" style="122" customWidth="1"/>
    <col min="4370" max="4370" width="0.28515625" style="122" customWidth="1"/>
    <col min="4371" max="4379" width="1.7109375" style="122" customWidth="1"/>
    <col min="4380" max="4380" width="0.28515625" style="122" customWidth="1"/>
    <col min="4381" max="4389" width="1.7109375" style="122" customWidth="1"/>
    <col min="4390" max="4390" width="0.28515625" style="122" customWidth="1"/>
    <col min="4391" max="4399" width="1.7109375" style="122" customWidth="1"/>
    <col min="4400" max="4400" width="0.28515625" style="122" customWidth="1"/>
    <col min="4401" max="4409" width="1.7109375" style="122" customWidth="1"/>
    <col min="4410" max="4585" width="9.140625" style="122"/>
    <col min="4586" max="4586" width="0.28515625" style="122" customWidth="1"/>
    <col min="4587" max="4595" width="1.7109375" style="122" customWidth="1"/>
    <col min="4596" max="4596" width="0.28515625" style="122" customWidth="1"/>
    <col min="4597" max="4605" width="1.7109375" style="122" customWidth="1"/>
    <col min="4606" max="4606" width="0.28515625" style="122" customWidth="1"/>
    <col min="4607" max="4615" width="1.7109375" style="122" customWidth="1"/>
    <col min="4616" max="4616" width="0.28515625" style="122" customWidth="1"/>
    <col min="4617" max="4625" width="1.7109375" style="122" customWidth="1"/>
    <col min="4626" max="4626" width="0.28515625" style="122" customWidth="1"/>
    <col min="4627" max="4635" width="1.7109375" style="122" customWidth="1"/>
    <col min="4636" max="4636" width="0.28515625" style="122" customWidth="1"/>
    <col min="4637" max="4645" width="1.7109375" style="122" customWidth="1"/>
    <col min="4646" max="4646" width="0.28515625" style="122" customWidth="1"/>
    <col min="4647" max="4655" width="1.7109375" style="122" customWidth="1"/>
    <col min="4656" max="4656" width="0.28515625" style="122" customWidth="1"/>
    <col min="4657" max="4665" width="1.7109375" style="122" customWidth="1"/>
    <col min="4666" max="4841" width="9.140625" style="122"/>
    <col min="4842" max="4842" width="0.28515625" style="122" customWidth="1"/>
    <col min="4843" max="4851" width="1.7109375" style="122" customWidth="1"/>
    <col min="4852" max="4852" width="0.28515625" style="122" customWidth="1"/>
    <col min="4853" max="4861" width="1.7109375" style="122" customWidth="1"/>
    <col min="4862" max="4862" width="0.28515625" style="122" customWidth="1"/>
    <col min="4863" max="4871" width="1.7109375" style="122" customWidth="1"/>
    <col min="4872" max="4872" width="0.28515625" style="122" customWidth="1"/>
    <col min="4873" max="4881" width="1.7109375" style="122" customWidth="1"/>
    <col min="4882" max="4882" width="0.28515625" style="122" customWidth="1"/>
    <col min="4883" max="4891" width="1.7109375" style="122" customWidth="1"/>
    <col min="4892" max="4892" width="0.28515625" style="122" customWidth="1"/>
    <col min="4893" max="4901" width="1.7109375" style="122" customWidth="1"/>
    <col min="4902" max="4902" width="0.28515625" style="122" customWidth="1"/>
    <col min="4903" max="4911" width="1.7109375" style="122" customWidth="1"/>
    <col min="4912" max="4912" width="0.28515625" style="122" customWidth="1"/>
    <col min="4913" max="4921" width="1.7109375" style="122" customWidth="1"/>
    <col min="4922" max="5097" width="9.140625" style="122"/>
    <col min="5098" max="5098" width="0.28515625" style="122" customWidth="1"/>
    <col min="5099" max="5107" width="1.7109375" style="122" customWidth="1"/>
    <col min="5108" max="5108" width="0.28515625" style="122" customWidth="1"/>
    <col min="5109" max="5117" width="1.7109375" style="122" customWidth="1"/>
    <col min="5118" max="5118" width="0.28515625" style="122" customWidth="1"/>
    <col min="5119" max="5127" width="1.7109375" style="122" customWidth="1"/>
    <col min="5128" max="5128" width="0.28515625" style="122" customWidth="1"/>
    <col min="5129" max="5137" width="1.7109375" style="122" customWidth="1"/>
    <col min="5138" max="5138" width="0.28515625" style="122" customWidth="1"/>
    <col min="5139" max="5147" width="1.7109375" style="122" customWidth="1"/>
    <col min="5148" max="5148" width="0.28515625" style="122" customWidth="1"/>
    <col min="5149" max="5157" width="1.7109375" style="122" customWidth="1"/>
    <col min="5158" max="5158" width="0.28515625" style="122" customWidth="1"/>
    <col min="5159" max="5167" width="1.7109375" style="122" customWidth="1"/>
    <col min="5168" max="5168" width="0.28515625" style="122" customWidth="1"/>
    <col min="5169" max="5177" width="1.7109375" style="122" customWidth="1"/>
    <col min="5178" max="5353" width="9.140625" style="122"/>
    <col min="5354" max="5354" width="0.28515625" style="122" customWidth="1"/>
    <col min="5355" max="5363" width="1.7109375" style="122" customWidth="1"/>
    <col min="5364" max="5364" width="0.28515625" style="122" customWidth="1"/>
    <col min="5365" max="5373" width="1.7109375" style="122" customWidth="1"/>
    <col min="5374" max="5374" width="0.28515625" style="122" customWidth="1"/>
    <col min="5375" max="5383" width="1.7109375" style="122" customWidth="1"/>
    <col min="5384" max="5384" width="0.28515625" style="122" customWidth="1"/>
    <col min="5385" max="5393" width="1.7109375" style="122" customWidth="1"/>
    <col min="5394" max="5394" width="0.28515625" style="122" customWidth="1"/>
    <col min="5395" max="5403" width="1.7109375" style="122" customWidth="1"/>
    <col min="5404" max="5404" width="0.28515625" style="122" customWidth="1"/>
    <col min="5405" max="5413" width="1.7109375" style="122" customWidth="1"/>
    <col min="5414" max="5414" width="0.28515625" style="122" customWidth="1"/>
    <col min="5415" max="5423" width="1.7109375" style="122" customWidth="1"/>
    <col min="5424" max="5424" width="0.28515625" style="122" customWidth="1"/>
    <col min="5425" max="5433" width="1.7109375" style="122" customWidth="1"/>
    <col min="5434" max="5609" width="9.140625" style="122"/>
    <col min="5610" max="5610" width="0.28515625" style="122" customWidth="1"/>
    <col min="5611" max="5619" width="1.7109375" style="122" customWidth="1"/>
    <col min="5620" max="5620" width="0.28515625" style="122" customWidth="1"/>
    <col min="5621" max="5629" width="1.7109375" style="122" customWidth="1"/>
    <col min="5630" max="5630" width="0.28515625" style="122" customWidth="1"/>
    <col min="5631" max="5639" width="1.7109375" style="122" customWidth="1"/>
    <col min="5640" max="5640" width="0.28515625" style="122" customWidth="1"/>
    <col min="5641" max="5649" width="1.7109375" style="122" customWidth="1"/>
    <col min="5650" max="5650" width="0.28515625" style="122" customWidth="1"/>
    <col min="5651" max="5659" width="1.7109375" style="122" customWidth="1"/>
    <col min="5660" max="5660" width="0.28515625" style="122" customWidth="1"/>
    <col min="5661" max="5669" width="1.7109375" style="122" customWidth="1"/>
    <col min="5670" max="5670" width="0.28515625" style="122" customWidth="1"/>
    <col min="5671" max="5679" width="1.7109375" style="122" customWidth="1"/>
    <col min="5680" max="5680" width="0.28515625" style="122" customWidth="1"/>
    <col min="5681" max="5689" width="1.7109375" style="122" customWidth="1"/>
    <col min="5690" max="5865" width="9.140625" style="122"/>
    <col min="5866" max="5866" width="0.28515625" style="122" customWidth="1"/>
    <col min="5867" max="5875" width="1.7109375" style="122" customWidth="1"/>
    <col min="5876" max="5876" width="0.28515625" style="122" customWidth="1"/>
    <col min="5877" max="5885" width="1.7109375" style="122" customWidth="1"/>
    <col min="5886" max="5886" width="0.28515625" style="122" customWidth="1"/>
    <col min="5887" max="5895" width="1.7109375" style="122" customWidth="1"/>
    <col min="5896" max="5896" width="0.28515625" style="122" customWidth="1"/>
    <col min="5897" max="5905" width="1.7109375" style="122" customWidth="1"/>
    <col min="5906" max="5906" width="0.28515625" style="122" customWidth="1"/>
    <col min="5907" max="5915" width="1.7109375" style="122" customWidth="1"/>
    <col min="5916" max="5916" width="0.28515625" style="122" customWidth="1"/>
    <col min="5917" max="5925" width="1.7109375" style="122" customWidth="1"/>
    <col min="5926" max="5926" width="0.28515625" style="122" customWidth="1"/>
    <col min="5927" max="5935" width="1.7109375" style="122" customWidth="1"/>
    <col min="5936" max="5936" width="0.28515625" style="122" customWidth="1"/>
    <col min="5937" max="5945" width="1.7109375" style="122" customWidth="1"/>
    <col min="5946" max="6121" width="9.140625" style="122"/>
    <col min="6122" max="6122" width="0.28515625" style="122" customWidth="1"/>
    <col min="6123" max="6131" width="1.7109375" style="122" customWidth="1"/>
    <col min="6132" max="6132" width="0.28515625" style="122" customWidth="1"/>
    <col min="6133" max="6141" width="1.7109375" style="122" customWidth="1"/>
    <col min="6142" max="6142" width="0.28515625" style="122" customWidth="1"/>
    <col min="6143" max="6151" width="1.7109375" style="122" customWidth="1"/>
    <col min="6152" max="6152" width="0.28515625" style="122" customWidth="1"/>
    <col min="6153" max="6161" width="1.7109375" style="122" customWidth="1"/>
    <col min="6162" max="6162" width="0.28515625" style="122" customWidth="1"/>
    <col min="6163" max="6171" width="1.7109375" style="122" customWidth="1"/>
    <col min="6172" max="6172" width="0.28515625" style="122" customWidth="1"/>
    <col min="6173" max="6181" width="1.7109375" style="122" customWidth="1"/>
    <col min="6182" max="6182" width="0.28515625" style="122" customWidth="1"/>
    <col min="6183" max="6191" width="1.7109375" style="122" customWidth="1"/>
    <col min="6192" max="6192" width="0.28515625" style="122" customWidth="1"/>
    <col min="6193" max="6201" width="1.7109375" style="122" customWidth="1"/>
    <col min="6202" max="6377" width="9.140625" style="122"/>
    <col min="6378" max="6378" width="0.28515625" style="122" customWidth="1"/>
    <col min="6379" max="6387" width="1.7109375" style="122" customWidth="1"/>
    <col min="6388" max="6388" width="0.28515625" style="122" customWidth="1"/>
    <col min="6389" max="6397" width="1.7109375" style="122" customWidth="1"/>
    <col min="6398" max="6398" width="0.28515625" style="122" customWidth="1"/>
    <col min="6399" max="6407" width="1.7109375" style="122" customWidth="1"/>
    <col min="6408" max="6408" width="0.28515625" style="122" customWidth="1"/>
    <col min="6409" max="6417" width="1.7109375" style="122" customWidth="1"/>
    <col min="6418" max="6418" width="0.28515625" style="122" customWidth="1"/>
    <col min="6419" max="6427" width="1.7109375" style="122" customWidth="1"/>
    <col min="6428" max="6428" width="0.28515625" style="122" customWidth="1"/>
    <col min="6429" max="6437" width="1.7109375" style="122" customWidth="1"/>
    <col min="6438" max="6438" width="0.28515625" style="122" customWidth="1"/>
    <col min="6439" max="6447" width="1.7109375" style="122" customWidth="1"/>
    <col min="6448" max="6448" width="0.28515625" style="122" customWidth="1"/>
    <col min="6449" max="6457" width="1.7109375" style="122" customWidth="1"/>
    <col min="6458" max="6633" width="9.140625" style="122"/>
    <col min="6634" max="6634" width="0.28515625" style="122" customWidth="1"/>
    <col min="6635" max="6643" width="1.7109375" style="122" customWidth="1"/>
    <col min="6644" max="6644" width="0.28515625" style="122" customWidth="1"/>
    <col min="6645" max="6653" width="1.7109375" style="122" customWidth="1"/>
    <col min="6654" max="6654" width="0.28515625" style="122" customWidth="1"/>
    <col min="6655" max="6663" width="1.7109375" style="122" customWidth="1"/>
    <col min="6664" max="6664" width="0.28515625" style="122" customWidth="1"/>
    <col min="6665" max="6673" width="1.7109375" style="122" customWidth="1"/>
    <col min="6674" max="6674" width="0.28515625" style="122" customWidth="1"/>
    <col min="6675" max="6683" width="1.7109375" style="122" customWidth="1"/>
    <col min="6684" max="6684" width="0.28515625" style="122" customWidth="1"/>
    <col min="6685" max="6693" width="1.7109375" style="122" customWidth="1"/>
    <col min="6694" max="6694" width="0.28515625" style="122" customWidth="1"/>
    <col min="6695" max="6703" width="1.7109375" style="122" customWidth="1"/>
    <col min="6704" max="6704" width="0.28515625" style="122" customWidth="1"/>
    <col min="6705" max="6713" width="1.7109375" style="122" customWidth="1"/>
    <col min="6714" max="6889" width="9.140625" style="122"/>
    <col min="6890" max="6890" width="0.28515625" style="122" customWidth="1"/>
    <col min="6891" max="6899" width="1.7109375" style="122" customWidth="1"/>
    <col min="6900" max="6900" width="0.28515625" style="122" customWidth="1"/>
    <col min="6901" max="6909" width="1.7109375" style="122" customWidth="1"/>
    <col min="6910" max="6910" width="0.28515625" style="122" customWidth="1"/>
    <col min="6911" max="6919" width="1.7109375" style="122" customWidth="1"/>
    <col min="6920" max="6920" width="0.28515625" style="122" customWidth="1"/>
    <col min="6921" max="6929" width="1.7109375" style="122" customWidth="1"/>
    <col min="6930" max="6930" width="0.28515625" style="122" customWidth="1"/>
    <col min="6931" max="6939" width="1.7109375" style="122" customWidth="1"/>
    <col min="6940" max="6940" width="0.28515625" style="122" customWidth="1"/>
    <col min="6941" max="6949" width="1.7109375" style="122" customWidth="1"/>
    <col min="6950" max="6950" width="0.28515625" style="122" customWidth="1"/>
    <col min="6951" max="6959" width="1.7109375" style="122" customWidth="1"/>
    <col min="6960" max="6960" width="0.28515625" style="122" customWidth="1"/>
    <col min="6961" max="6969" width="1.7109375" style="122" customWidth="1"/>
    <col min="6970" max="7145" width="9.140625" style="122"/>
    <col min="7146" max="7146" width="0.28515625" style="122" customWidth="1"/>
    <col min="7147" max="7155" width="1.7109375" style="122" customWidth="1"/>
    <col min="7156" max="7156" width="0.28515625" style="122" customWidth="1"/>
    <col min="7157" max="7165" width="1.7109375" style="122" customWidth="1"/>
    <col min="7166" max="7166" width="0.28515625" style="122" customWidth="1"/>
    <col min="7167" max="7175" width="1.7109375" style="122" customWidth="1"/>
    <col min="7176" max="7176" width="0.28515625" style="122" customWidth="1"/>
    <col min="7177" max="7185" width="1.7109375" style="122" customWidth="1"/>
    <col min="7186" max="7186" width="0.28515625" style="122" customWidth="1"/>
    <col min="7187" max="7195" width="1.7109375" style="122" customWidth="1"/>
    <col min="7196" max="7196" width="0.28515625" style="122" customWidth="1"/>
    <col min="7197" max="7205" width="1.7109375" style="122" customWidth="1"/>
    <col min="7206" max="7206" width="0.28515625" style="122" customWidth="1"/>
    <col min="7207" max="7215" width="1.7109375" style="122" customWidth="1"/>
    <col min="7216" max="7216" width="0.28515625" style="122" customWidth="1"/>
    <col min="7217" max="7225" width="1.7109375" style="122" customWidth="1"/>
    <col min="7226" max="7401" width="9.140625" style="122"/>
    <col min="7402" max="7402" width="0.28515625" style="122" customWidth="1"/>
    <col min="7403" max="7411" width="1.7109375" style="122" customWidth="1"/>
    <col min="7412" max="7412" width="0.28515625" style="122" customWidth="1"/>
    <col min="7413" max="7421" width="1.7109375" style="122" customWidth="1"/>
    <col min="7422" max="7422" width="0.28515625" style="122" customWidth="1"/>
    <col min="7423" max="7431" width="1.7109375" style="122" customWidth="1"/>
    <col min="7432" max="7432" width="0.28515625" style="122" customWidth="1"/>
    <col min="7433" max="7441" width="1.7109375" style="122" customWidth="1"/>
    <col min="7442" max="7442" width="0.28515625" style="122" customWidth="1"/>
    <col min="7443" max="7451" width="1.7109375" style="122" customWidth="1"/>
    <col min="7452" max="7452" width="0.28515625" style="122" customWidth="1"/>
    <col min="7453" max="7461" width="1.7109375" style="122" customWidth="1"/>
    <col min="7462" max="7462" width="0.28515625" style="122" customWidth="1"/>
    <col min="7463" max="7471" width="1.7109375" style="122" customWidth="1"/>
    <col min="7472" max="7472" width="0.28515625" style="122" customWidth="1"/>
    <col min="7473" max="7481" width="1.7109375" style="122" customWidth="1"/>
    <col min="7482" max="7657" width="9.140625" style="122"/>
    <col min="7658" max="7658" width="0.28515625" style="122" customWidth="1"/>
    <col min="7659" max="7667" width="1.7109375" style="122" customWidth="1"/>
    <col min="7668" max="7668" width="0.28515625" style="122" customWidth="1"/>
    <col min="7669" max="7677" width="1.7109375" style="122" customWidth="1"/>
    <col min="7678" max="7678" width="0.28515625" style="122" customWidth="1"/>
    <col min="7679" max="7687" width="1.7109375" style="122" customWidth="1"/>
    <col min="7688" max="7688" width="0.28515625" style="122" customWidth="1"/>
    <col min="7689" max="7697" width="1.7109375" style="122" customWidth="1"/>
    <col min="7698" max="7698" width="0.28515625" style="122" customWidth="1"/>
    <col min="7699" max="7707" width="1.7109375" style="122" customWidth="1"/>
    <col min="7708" max="7708" width="0.28515625" style="122" customWidth="1"/>
    <col min="7709" max="7717" width="1.7109375" style="122" customWidth="1"/>
    <col min="7718" max="7718" width="0.28515625" style="122" customWidth="1"/>
    <col min="7719" max="7727" width="1.7109375" style="122" customWidth="1"/>
    <col min="7728" max="7728" width="0.28515625" style="122" customWidth="1"/>
    <col min="7729" max="7737" width="1.7109375" style="122" customWidth="1"/>
    <col min="7738" max="7913" width="9.140625" style="122"/>
    <col min="7914" max="7914" width="0.28515625" style="122" customWidth="1"/>
    <col min="7915" max="7923" width="1.7109375" style="122" customWidth="1"/>
    <col min="7924" max="7924" width="0.28515625" style="122" customWidth="1"/>
    <col min="7925" max="7933" width="1.7109375" style="122" customWidth="1"/>
    <col min="7934" max="7934" width="0.28515625" style="122" customWidth="1"/>
    <col min="7935" max="7943" width="1.7109375" style="122" customWidth="1"/>
    <col min="7944" max="7944" width="0.28515625" style="122" customWidth="1"/>
    <col min="7945" max="7953" width="1.7109375" style="122" customWidth="1"/>
    <col min="7954" max="7954" width="0.28515625" style="122" customWidth="1"/>
    <col min="7955" max="7963" width="1.7109375" style="122" customWidth="1"/>
    <col min="7964" max="7964" width="0.28515625" style="122" customWidth="1"/>
    <col min="7965" max="7973" width="1.7109375" style="122" customWidth="1"/>
    <col min="7974" max="7974" width="0.28515625" style="122" customWidth="1"/>
    <col min="7975" max="7983" width="1.7109375" style="122" customWidth="1"/>
    <col min="7984" max="7984" width="0.28515625" style="122" customWidth="1"/>
    <col min="7985" max="7993" width="1.7109375" style="122" customWidth="1"/>
    <col min="7994" max="8169" width="9.140625" style="122"/>
    <col min="8170" max="8170" width="0.28515625" style="122" customWidth="1"/>
    <col min="8171" max="8179" width="1.7109375" style="122" customWidth="1"/>
    <col min="8180" max="8180" width="0.28515625" style="122" customWidth="1"/>
    <col min="8181" max="8189" width="1.7109375" style="122" customWidth="1"/>
    <col min="8190" max="8190" width="0.28515625" style="122" customWidth="1"/>
    <col min="8191" max="8199" width="1.7109375" style="122" customWidth="1"/>
    <col min="8200" max="8200" width="0.28515625" style="122" customWidth="1"/>
    <col min="8201" max="8209" width="1.7109375" style="122" customWidth="1"/>
    <col min="8210" max="8210" width="0.28515625" style="122" customWidth="1"/>
    <col min="8211" max="8219" width="1.7109375" style="122" customWidth="1"/>
    <col min="8220" max="8220" width="0.28515625" style="122" customWidth="1"/>
    <col min="8221" max="8229" width="1.7109375" style="122" customWidth="1"/>
    <col min="8230" max="8230" width="0.28515625" style="122" customWidth="1"/>
    <col min="8231" max="8239" width="1.7109375" style="122" customWidth="1"/>
    <col min="8240" max="8240" width="0.28515625" style="122" customWidth="1"/>
    <col min="8241" max="8249" width="1.7109375" style="122" customWidth="1"/>
    <col min="8250" max="8425" width="9.140625" style="122"/>
    <col min="8426" max="8426" width="0.28515625" style="122" customWidth="1"/>
    <col min="8427" max="8435" width="1.7109375" style="122" customWidth="1"/>
    <col min="8436" max="8436" width="0.28515625" style="122" customWidth="1"/>
    <col min="8437" max="8445" width="1.7109375" style="122" customWidth="1"/>
    <col min="8446" max="8446" width="0.28515625" style="122" customWidth="1"/>
    <col min="8447" max="8455" width="1.7109375" style="122" customWidth="1"/>
    <col min="8456" max="8456" width="0.28515625" style="122" customWidth="1"/>
    <col min="8457" max="8465" width="1.7109375" style="122" customWidth="1"/>
    <col min="8466" max="8466" width="0.28515625" style="122" customWidth="1"/>
    <col min="8467" max="8475" width="1.7109375" style="122" customWidth="1"/>
    <col min="8476" max="8476" width="0.28515625" style="122" customWidth="1"/>
    <col min="8477" max="8485" width="1.7109375" style="122" customWidth="1"/>
    <col min="8486" max="8486" width="0.28515625" style="122" customWidth="1"/>
    <col min="8487" max="8495" width="1.7109375" style="122" customWidth="1"/>
    <col min="8496" max="8496" width="0.28515625" style="122" customWidth="1"/>
    <col min="8497" max="8505" width="1.7109375" style="122" customWidth="1"/>
    <col min="8506" max="8681" width="9.140625" style="122"/>
    <col min="8682" max="8682" width="0.28515625" style="122" customWidth="1"/>
    <col min="8683" max="8691" width="1.7109375" style="122" customWidth="1"/>
    <col min="8692" max="8692" width="0.28515625" style="122" customWidth="1"/>
    <col min="8693" max="8701" width="1.7109375" style="122" customWidth="1"/>
    <col min="8702" max="8702" width="0.28515625" style="122" customWidth="1"/>
    <col min="8703" max="8711" width="1.7109375" style="122" customWidth="1"/>
    <col min="8712" max="8712" width="0.28515625" style="122" customWidth="1"/>
    <col min="8713" max="8721" width="1.7109375" style="122" customWidth="1"/>
    <col min="8722" max="8722" width="0.28515625" style="122" customWidth="1"/>
    <col min="8723" max="8731" width="1.7109375" style="122" customWidth="1"/>
    <col min="8732" max="8732" width="0.28515625" style="122" customWidth="1"/>
    <col min="8733" max="8741" width="1.7109375" style="122" customWidth="1"/>
    <col min="8742" max="8742" width="0.28515625" style="122" customWidth="1"/>
    <col min="8743" max="8751" width="1.7109375" style="122" customWidth="1"/>
    <col min="8752" max="8752" width="0.28515625" style="122" customWidth="1"/>
    <col min="8753" max="8761" width="1.7109375" style="122" customWidth="1"/>
    <col min="8762" max="8937" width="9.140625" style="122"/>
    <col min="8938" max="8938" width="0.28515625" style="122" customWidth="1"/>
    <col min="8939" max="8947" width="1.7109375" style="122" customWidth="1"/>
    <col min="8948" max="8948" width="0.28515625" style="122" customWidth="1"/>
    <col min="8949" max="8957" width="1.7109375" style="122" customWidth="1"/>
    <col min="8958" max="8958" width="0.28515625" style="122" customWidth="1"/>
    <col min="8959" max="8967" width="1.7109375" style="122" customWidth="1"/>
    <col min="8968" max="8968" width="0.28515625" style="122" customWidth="1"/>
    <col min="8969" max="8977" width="1.7109375" style="122" customWidth="1"/>
    <col min="8978" max="8978" width="0.28515625" style="122" customWidth="1"/>
    <col min="8979" max="8987" width="1.7109375" style="122" customWidth="1"/>
    <col min="8988" max="8988" width="0.28515625" style="122" customWidth="1"/>
    <col min="8989" max="8997" width="1.7109375" style="122" customWidth="1"/>
    <col min="8998" max="8998" width="0.28515625" style="122" customWidth="1"/>
    <col min="8999" max="9007" width="1.7109375" style="122" customWidth="1"/>
    <col min="9008" max="9008" width="0.28515625" style="122" customWidth="1"/>
    <col min="9009" max="9017" width="1.7109375" style="122" customWidth="1"/>
    <col min="9018" max="9193" width="9.140625" style="122"/>
    <col min="9194" max="9194" width="0.28515625" style="122" customWidth="1"/>
    <col min="9195" max="9203" width="1.7109375" style="122" customWidth="1"/>
    <col min="9204" max="9204" width="0.28515625" style="122" customWidth="1"/>
    <col min="9205" max="9213" width="1.7109375" style="122" customWidth="1"/>
    <col min="9214" max="9214" width="0.28515625" style="122" customWidth="1"/>
    <col min="9215" max="9223" width="1.7109375" style="122" customWidth="1"/>
    <col min="9224" max="9224" width="0.28515625" style="122" customWidth="1"/>
    <col min="9225" max="9233" width="1.7109375" style="122" customWidth="1"/>
    <col min="9234" max="9234" width="0.28515625" style="122" customWidth="1"/>
    <col min="9235" max="9243" width="1.7109375" style="122" customWidth="1"/>
    <col min="9244" max="9244" width="0.28515625" style="122" customWidth="1"/>
    <col min="9245" max="9253" width="1.7109375" style="122" customWidth="1"/>
    <col min="9254" max="9254" width="0.28515625" style="122" customWidth="1"/>
    <col min="9255" max="9263" width="1.7109375" style="122" customWidth="1"/>
    <col min="9264" max="9264" width="0.28515625" style="122" customWidth="1"/>
    <col min="9265" max="9273" width="1.7109375" style="122" customWidth="1"/>
    <col min="9274" max="9449" width="9.140625" style="122"/>
    <col min="9450" max="9450" width="0.28515625" style="122" customWidth="1"/>
    <col min="9451" max="9459" width="1.7109375" style="122" customWidth="1"/>
    <col min="9460" max="9460" width="0.28515625" style="122" customWidth="1"/>
    <col min="9461" max="9469" width="1.7109375" style="122" customWidth="1"/>
    <col min="9470" max="9470" width="0.28515625" style="122" customWidth="1"/>
    <col min="9471" max="9479" width="1.7109375" style="122" customWidth="1"/>
    <col min="9480" max="9480" width="0.28515625" style="122" customWidth="1"/>
    <col min="9481" max="9489" width="1.7109375" style="122" customWidth="1"/>
    <col min="9490" max="9490" width="0.28515625" style="122" customWidth="1"/>
    <col min="9491" max="9499" width="1.7109375" style="122" customWidth="1"/>
    <col min="9500" max="9500" width="0.28515625" style="122" customWidth="1"/>
    <col min="9501" max="9509" width="1.7109375" style="122" customWidth="1"/>
    <col min="9510" max="9510" width="0.28515625" style="122" customWidth="1"/>
    <col min="9511" max="9519" width="1.7109375" style="122" customWidth="1"/>
    <col min="9520" max="9520" width="0.28515625" style="122" customWidth="1"/>
    <col min="9521" max="9529" width="1.7109375" style="122" customWidth="1"/>
    <col min="9530" max="9705" width="9.140625" style="122"/>
    <col min="9706" max="9706" width="0.28515625" style="122" customWidth="1"/>
    <col min="9707" max="9715" width="1.7109375" style="122" customWidth="1"/>
    <col min="9716" max="9716" width="0.28515625" style="122" customWidth="1"/>
    <col min="9717" max="9725" width="1.7109375" style="122" customWidth="1"/>
    <col min="9726" max="9726" width="0.28515625" style="122" customWidth="1"/>
    <col min="9727" max="9735" width="1.7109375" style="122" customWidth="1"/>
    <col min="9736" max="9736" width="0.28515625" style="122" customWidth="1"/>
    <col min="9737" max="9745" width="1.7109375" style="122" customWidth="1"/>
    <col min="9746" max="9746" width="0.28515625" style="122" customWidth="1"/>
    <col min="9747" max="9755" width="1.7109375" style="122" customWidth="1"/>
    <col min="9756" max="9756" width="0.28515625" style="122" customWidth="1"/>
    <col min="9757" max="9765" width="1.7109375" style="122" customWidth="1"/>
    <col min="9766" max="9766" width="0.28515625" style="122" customWidth="1"/>
    <col min="9767" max="9775" width="1.7109375" style="122" customWidth="1"/>
    <col min="9776" max="9776" width="0.28515625" style="122" customWidth="1"/>
    <col min="9777" max="9785" width="1.7109375" style="122" customWidth="1"/>
    <col min="9786" max="9961" width="9.140625" style="122"/>
    <col min="9962" max="9962" width="0.28515625" style="122" customWidth="1"/>
    <col min="9963" max="9971" width="1.7109375" style="122" customWidth="1"/>
    <col min="9972" max="9972" width="0.28515625" style="122" customWidth="1"/>
    <col min="9973" max="9981" width="1.7109375" style="122" customWidth="1"/>
    <col min="9982" max="9982" width="0.28515625" style="122" customWidth="1"/>
    <col min="9983" max="9991" width="1.7109375" style="122" customWidth="1"/>
    <col min="9992" max="9992" width="0.28515625" style="122" customWidth="1"/>
    <col min="9993" max="10001" width="1.7109375" style="122" customWidth="1"/>
    <col min="10002" max="10002" width="0.28515625" style="122" customWidth="1"/>
    <col min="10003" max="10011" width="1.7109375" style="122" customWidth="1"/>
    <col min="10012" max="10012" width="0.28515625" style="122" customWidth="1"/>
    <col min="10013" max="10021" width="1.7109375" style="122" customWidth="1"/>
    <col min="10022" max="10022" width="0.28515625" style="122" customWidth="1"/>
    <col min="10023" max="10031" width="1.7109375" style="122" customWidth="1"/>
    <col min="10032" max="10032" width="0.28515625" style="122" customWidth="1"/>
    <col min="10033" max="10041" width="1.7109375" style="122" customWidth="1"/>
    <col min="10042" max="10217" width="9.140625" style="122"/>
    <col min="10218" max="10218" width="0.28515625" style="122" customWidth="1"/>
    <col min="10219" max="10227" width="1.7109375" style="122" customWidth="1"/>
    <col min="10228" max="10228" width="0.28515625" style="122" customWidth="1"/>
    <col min="10229" max="10237" width="1.7109375" style="122" customWidth="1"/>
    <col min="10238" max="10238" width="0.28515625" style="122" customWidth="1"/>
    <col min="10239" max="10247" width="1.7109375" style="122" customWidth="1"/>
    <col min="10248" max="10248" width="0.28515625" style="122" customWidth="1"/>
    <col min="10249" max="10257" width="1.7109375" style="122" customWidth="1"/>
    <col min="10258" max="10258" width="0.28515625" style="122" customWidth="1"/>
    <col min="10259" max="10267" width="1.7109375" style="122" customWidth="1"/>
    <col min="10268" max="10268" width="0.28515625" style="122" customWidth="1"/>
    <col min="10269" max="10277" width="1.7109375" style="122" customWidth="1"/>
    <col min="10278" max="10278" width="0.28515625" style="122" customWidth="1"/>
    <col min="10279" max="10287" width="1.7109375" style="122" customWidth="1"/>
    <col min="10288" max="10288" width="0.28515625" style="122" customWidth="1"/>
    <col min="10289" max="10297" width="1.7109375" style="122" customWidth="1"/>
    <col min="10298" max="10473" width="9.140625" style="122"/>
    <col min="10474" max="10474" width="0.28515625" style="122" customWidth="1"/>
    <col min="10475" max="10483" width="1.7109375" style="122" customWidth="1"/>
    <col min="10484" max="10484" width="0.28515625" style="122" customWidth="1"/>
    <col min="10485" max="10493" width="1.7109375" style="122" customWidth="1"/>
    <col min="10494" max="10494" width="0.28515625" style="122" customWidth="1"/>
    <col min="10495" max="10503" width="1.7109375" style="122" customWidth="1"/>
    <col min="10504" max="10504" width="0.28515625" style="122" customWidth="1"/>
    <col min="10505" max="10513" width="1.7109375" style="122" customWidth="1"/>
    <col min="10514" max="10514" width="0.28515625" style="122" customWidth="1"/>
    <col min="10515" max="10523" width="1.7109375" style="122" customWidth="1"/>
    <col min="10524" max="10524" width="0.28515625" style="122" customWidth="1"/>
    <col min="10525" max="10533" width="1.7109375" style="122" customWidth="1"/>
    <col min="10534" max="10534" width="0.28515625" style="122" customWidth="1"/>
    <col min="10535" max="10543" width="1.7109375" style="122" customWidth="1"/>
    <col min="10544" max="10544" width="0.28515625" style="122" customWidth="1"/>
    <col min="10545" max="10553" width="1.7109375" style="122" customWidth="1"/>
    <col min="10554" max="10729" width="9.140625" style="122"/>
    <col min="10730" max="10730" width="0.28515625" style="122" customWidth="1"/>
    <col min="10731" max="10739" width="1.7109375" style="122" customWidth="1"/>
    <col min="10740" max="10740" width="0.28515625" style="122" customWidth="1"/>
    <col min="10741" max="10749" width="1.7109375" style="122" customWidth="1"/>
    <col min="10750" max="10750" width="0.28515625" style="122" customWidth="1"/>
    <col min="10751" max="10759" width="1.7109375" style="122" customWidth="1"/>
    <col min="10760" max="10760" width="0.28515625" style="122" customWidth="1"/>
    <col min="10761" max="10769" width="1.7109375" style="122" customWidth="1"/>
    <col min="10770" max="10770" width="0.28515625" style="122" customWidth="1"/>
    <col min="10771" max="10779" width="1.7109375" style="122" customWidth="1"/>
    <col min="10780" max="10780" width="0.28515625" style="122" customWidth="1"/>
    <col min="10781" max="10789" width="1.7109375" style="122" customWidth="1"/>
    <col min="10790" max="10790" width="0.28515625" style="122" customWidth="1"/>
    <col min="10791" max="10799" width="1.7109375" style="122" customWidth="1"/>
    <col min="10800" max="10800" width="0.28515625" style="122" customWidth="1"/>
    <col min="10801" max="10809" width="1.7109375" style="122" customWidth="1"/>
    <col min="10810" max="10985" width="9.140625" style="122"/>
    <col min="10986" max="10986" width="0.28515625" style="122" customWidth="1"/>
    <col min="10987" max="10995" width="1.7109375" style="122" customWidth="1"/>
    <col min="10996" max="10996" width="0.28515625" style="122" customWidth="1"/>
    <col min="10997" max="11005" width="1.7109375" style="122" customWidth="1"/>
    <col min="11006" max="11006" width="0.28515625" style="122" customWidth="1"/>
    <col min="11007" max="11015" width="1.7109375" style="122" customWidth="1"/>
    <col min="11016" max="11016" width="0.28515625" style="122" customWidth="1"/>
    <col min="11017" max="11025" width="1.7109375" style="122" customWidth="1"/>
    <col min="11026" max="11026" width="0.28515625" style="122" customWidth="1"/>
    <col min="11027" max="11035" width="1.7109375" style="122" customWidth="1"/>
    <col min="11036" max="11036" width="0.28515625" style="122" customWidth="1"/>
    <col min="11037" max="11045" width="1.7109375" style="122" customWidth="1"/>
    <col min="11046" max="11046" width="0.28515625" style="122" customWidth="1"/>
    <col min="11047" max="11055" width="1.7109375" style="122" customWidth="1"/>
    <col min="11056" max="11056" width="0.28515625" style="122" customWidth="1"/>
    <col min="11057" max="11065" width="1.7109375" style="122" customWidth="1"/>
    <col min="11066" max="11241" width="9.140625" style="122"/>
    <col min="11242" max="11242" width="0.28515625" style="122" customWidth="1"/>
    <col min="11243" max="11251" width="1.7109375" style="122" customWidth="1"/>
    <col min="11252" max="11252" width="0.28515625" style="122" customWidth="1"/>
    <col min="11253" max="11261" width="1.7109375" style="122" customWidth="1"/>
    <col min="11262" max="11262" width="0.28515625" style="122" customWidth="1"/>
    <col min="11263" max="11271" width="1.7109375" style="122" customWidth="1"/>
    <col min="11272" max="11272" width="0.28515625" style="122" customWidth="1"/>
    <col min="11273" max="11281" width="1.7109375" style="122" customWidth="1"/>
    <col min="11282" max="11282" width="0.28515625" style="122" customWidth="1"/>
    <col min="11283" max="11291" width="1.7109375" style="122" customWidth="1"/>
    <col min="11292" max="11292" width="0.28515625" style="122" customWidth="1"/>
    <col min="11293" max="11301" width="1.7109375" style="122" customWidth="1"/>
    <col min="11302" max="11302" width="0.28515625" style="122" customWidth="1"/>
    <col min="11303" max="11311" width="1.7109375" style="122" customWidth="1"/>
    <col min="11312" max="11312" width="0.28515625" style="122" customWidth="1"/>
    <col min="11313" max="11321" width="1.7109375" style="122" customWidth="1"/>
    <col min="11322" max="11497" width="9.140625" style="122"/>
    <col min="11498" max="11498" width="0.28515625" style="122" customWidth="1"/>
    <col min="11499" max="11507" width="1.7109375" style="122" customWidth="1"/>
    <col min="11508" max="11508" width="0.28515625" style="122" customWidth="1"/>
    <col min="11509" max="11517" width="1.7109375" style="122" customWidth="1"/>
    <col min="11518" max="11518" width="0.28515625" style="122" customWidth="1"/>
    <col min="11519" max="11527" width="1.7109375" style="122" customWidth="1"/>
    <col min="11528" max="11528" width="0.28515625" style="122" customWidth="1"/>
    <col min="11529" max="11537" width="1.7109375" style="122" customWidth="1"/>
    <col min="11538" max="11538" width="0.28515625" style="122" customWidth="1"/>
    <col min="11539" max="11547" width="1.7109375" style="122" customWidth="1"/>
    <col min="11548" max="11548" width="0.28515625" style="122" customWidth="1"/>
    <col min="11549" max="11557" width="1.7109375" style="122" customWidth="1"/>
    <col min="11558" max="11558" width="0.28515625" style="122" customWidth="1"/>
    <col min="11559" max="11567" width="1.7109375" style="122" customWidth="1"/>
    <col min="11568" max="11568" width="0.28515625" style="122" customWidth="1"/>
    <col min="11569" max="11577" width="1.7109375" style="122" customWidth="1"/>
    <col min="11578" max="11753" width="9.140625" style="122"/>
    <col min="11754" max="11754" width="0.28515625" style="122" customWidth="1"/>
    <col min="11755" max="11763" width="1.7109375" style="122" customWidth="1"/>
    <col min="11764" max="11764" width="0.28515625" style="122" customWidth="1"/>
    <col min="11765" max="11773" width="1.7109375" style="122" customWidth="1"/>
    <col min="11774" max="11774" width="0.28515625" style="122" customWidth="1"/>
    <col min="11775" max="11783" width="1.7109375" style="122" customWidth="1"/>
    <col min="11784" max="11784" width="0.28515625" style="122" customWidth="1"/>
    <col min="11785" max="11793" width="1.7109375" style="122" customWidth="1"/>
    <col min="11794" max="11794" width="0.28515625" style="122" customWidth="1"/>
    <col min="11795" max="11803" width="1.7109375" style="122" customWidth="1"/>
    <col min="11804" max="11804" width="0.28515625" style="122" customWidth="1"/>
    <col min="11805" max="11813" width="1.7109375" style="122" customWidth="1"/>
    <col min="11814" max="11814" width="0.28515625" style="122" customWidth="1"/>
    <col min="11815" max="11823" width="1.7109375" style="122" customWidth="1"/>
    <col min="11824" max="11824" width="0.28515625" style="122" customWidth="1"/>
    <col min="11825" max="11833" width="1.7109375" style="122" customWidth="1"/>
    <col min="11834" max="12009" width="9.140625" style="122"/>
    <col min="12010" max="12010" width="0.28515625" style="122" customWidth="1"/>
    <col min="12011" max="12019" width="1.7109375" style="122" customWidth="1"/>
    <col min="12020" max="12020" width="0.28515625" style="122" customWidth="1"/>
    <col min="12021" max="12029" width="1.7109375" style="122" customWidth="1"/>
    <col min="12030" max="12030" width="0.28515625" style="122" customWidth="1"/>
    <col min="12031" max="12039" width="1.7109375" style="122" customWidth="1"/>
    <col min="12040" max="12040" width="0.28515625" style="122" customWidth="1"/>
    <col min="12041" max="12049" width="1.7109375" style="122" customWidth="1"/>
    <col min="12050" max="12050" width="0.28515625" style="122" customWidth="1"/>
    <col min="12051" max="12059" width="1.7109375" style="122" customWidth="1"/>
    <col min="12060" max="12060" width="0.28515625" style="122" customWidth="1"/>
    <col min="12061" max="12069" width="1.7109375" style="122" customWidth="1"/>
    <col min="12070" max="12070" width="0.28515625" style="122" customWidth="1"/>
    <col min="12071" max="12079" width="1.7109375" style="122" customWidth="1"/>
    <col min="12080" max="12080" width="0.28515625" style="122" customWidth="1"/>
    <col min="12081" max="12089" width="1.7109375" style="122" customWidth="1"/>
    <col min="12090" max="12265" width="9.140625" style="122"/>
    <col min="12266" max="12266" width="0.28515625" style="122" customWidth="1"/>
    <col min="12267" max="12275" width="1.7109375" style="122" customWidth="1"/>
    <col min="12276" max="12276" width="0.28515625" style="122" customWidth="1"/>
    <col min="12277" max="12285" width="1.7109375" style="122" customWidth="1"/>
    <col min="12286" max="12286" width="0.28515625" style="122" customWidth="1"/>
    <col min="12287" max="12295" width="1.7109375" style="122" customWidth="1"/>
    <col min="12296" max="12296" width="0.28515625" style="122" customWidth="1"/>
    <col min="12297" max="12305" width="1.7109375" style="122" customWidth="1"/>
    <col min="12306" max="12306" width="0.28515625" style="122" customWidth="1"/>
    <col min="12307" max="12315" width="1.7109375" style="122" customWidth="1"/>
    <col min="12316" max="12316" width="0.28515625" style="122" customWidth="1"/>
    <col min="12317" max="12325" width="1.7109375" style="122" customWidth="1"/>
    <col min="12326" max="12326" width="0.28515625" style="122" customWidth="1"/>
    <col min="12327" max="12335" width="1.7109375" style="122" customWidth="1"/>
    <col min="12336" max="12336" width="0.28515625" style="122" customWidth="1"/>
    <col min="12337" max="12345" width="1.7109375" style="122" customWidth="1"/>
    <col min="12346" max="12521" width="9.140625" style="122"/>
    <col min="12522" max="12522" width="0.28515625" style="122" customWidth="1"/>
    <col min="12523" max="12531" width="1.7109375" style="122" customWidth="1"/>
    <col min="12532" max="12532" width="0.28515625" style="122" customWidth="1"/>
    <col min="12533" max="12541" width="1.7109375" style="122" customWidth="1"/>
    <col min="12542" max="12542" width="0.28515625" style="122" customWidth="1"/>
    <col min="12543" max="12551" width="1.7109375" style="122" customWidth="1"/>
    <col min="12552" max="12552" width="0.28515625" style="122" customWidth="1"/>
    <col min="12553" max="12561" width="1.7109375" style="122" customWidth="1"/>
    <col min="12562" max="12562" width="0.28515625" style="122" customWidth="1"/>
    <col min="12563" max="12571" width="1.7109375" style="122" customWidth="1"/>
    <col min="12572" max="12572" width="0.28515625" style="122" customWidth="1"/>
    <col min="12573" max="12581" width="1.7109375" style="122" customWidth="1"/>
    <col min="12582" max="12582" width="0.28515625" style="122" customWidth="1"/>
    <col min="12583" max="12591" width="1.7109375" style="122" customWidth="1"/>
    <col min="12592" max="12592" width="0.28515625" style="122" customWidth="1"/>
    <col min="12593" max="12601" width="1.7109375" style="122" customWidth="1"/>
    <col min="12602" max="12777" width="9.140625" style="122"/>
    <col min="12778" max="12778" width="0.28515625" style="122" customWidth="1"/>
    <col min="12779" max="12787" width="1.7109375" style="122" customWidth="1"/>
    <col min="12788" max="12788" width="0.28515625" style="122" customWidth="1"/>
    <col min="12789" max="12797" width="1.7109375" style="122" customWidth="1"/>
    <col min="12798" max="12798" width="0.28515625" style="122" customWidth="1"/>
    <col min="12799" max="12807" width="1.7109375" style="122" customWidth="1"/>
    <col min="12808" max="12808" width="0.28515625" style="122" customWidth="1"/>
    <col min="12809" max="12817" width="1.7109375" style="122" customWidth="1"/>
    <col min="12818" max="12818" width="0.28515625" style="122" customWidth="1"/>
    <col min="12819" max="12827" width="1.7109375" style="122" customWidth="1"/>
    <col min="12828" max="12828" width="0.28515625" style="122" customWidth="1"/>
    <col min="12829" max="12837" width="1.7109375" style="122" customWidth="1"/>
    <col min="12838" max="12838" width="0.28515625" style="122" customWidth="1"/>
    <col min="12839" max="12847" width="1.7109375" style="122" customWidth="1"/>
    <col min="12848" max="12848" width="0.28515625" style="122" customWidth="1"/>
    <col min="12849" max="12857" width="1.7109375" style="122" customWidth="1"/>
    <col min="12858" max="13033" width="9.140625" style="122"/>
    <col min="13034" max="13034" width="0.28515625" style="122" customWidth="1"/>
    <col min="13035" max="13043" width="1.7109375" style="122" customWidth="1"/>
    <col min="13044" max="13044" width="0.28515625" style="122" customWidth="1"/>
    <col min="13045" max="13053" width="1.7109375" style="122" customWidth="1"/>
    <col min="13054" max="13054" width="0.28515625" style="122" customWidth="1"/>
    <col min="13055" max="13063" width="1.7109375" style="122" customWidth="1"/>
    <col min="13064" max="13064" width="0.28515625" style="122" customWidth="1"/>
    <col min="13065" max="13073" width="1.7109375" style="122" customWidth="1"/>
    <col min="13074" max="13074" width="0.28515625" style="122" customWidth="1"/>
    <col min="13075" max="13083" width="1.7109375" style="122" customWidth="1"/>
    <col min="13084" max="13084" width="0.28515625" style="122" customWidth="1"/>
    <col min="13085" max="13093" width="1.7109375" style="122" customWidth="1"/>
    <col min="13094" max="13094" width="0.28515625" style="122" customWidth="1"/>
    <col min="13095" max="13103" width="1.7109375" style="122" customWidth="1"/>
    <col min="13104" max="13104" width="0.28515625" style="122" customWidth="1"/>
    <col min="13105" max="13113" width="1.7109375" style="122" customWidth="1"/>
    <col min="13114" max="13289" width="9.140625" style="122"/>
    <col min="13290" max="13290" width="0.28515625" style="122" customWidth="1"/>
    <col min="13291" max="13299" width="1.7109375" style="122" customWidth="1"/>
    <col min="13300" max="13300" width="0.28515625" style="122" customWidth="1"/>
    <col min="13301" max="13309" width="1.7109375" style="122" customWidth="1"/>
    <col min="13310" max="13310" width="0.28515625" style="122" customWidth="1"/>
    <col min="13311" max="13319" width="1.7109375" style="122" customWidth="1"/>
    <col min="13320" max="13320" width="0.28515625" style="122" customWidth="1"/>
    <col min="13321" max="13329" width="1.7109375" style="122" customWidth="1"/>
    <col min="13330" max="13330" width="0.28515625" style="122" customWidth="1"/>
    <col min="13331" max="13339" width="1.7109375" style="122" customWidth="1"/>
    <col min="13340" max="13340" width="0.28515625" style="122" customWidth="1"/>
    <col min="13341" max="13349" width="1.7109375" style="122" customWidth="1"/>
    <col min="13350" max="13350" width="0.28515625" style="122" customWidth="1"/>
    <col min="13351" max="13359" width="1.7109375" style="122" customWidth="1"/>
    <col min="13360" max="13360" width="0.28515625" style="122" customWidth="1"/>
    <col min="13361" max="13369" width="1.7109375" style="122" customWidth="1"/>
    <col min="13370" max="13545" width="9.140625" style="122"/>
    <col min="13546" max="13546" width="0.28515625" style="122" customWidth="1"/>
    <col min="13547" max="13555" width="1.7109375" style="122" customWidth="1"/>
    <col min="13556" max="13556" width="0.28515625" style="122" customWidth="1"/>
    <col min="13557" max="13565" width="1.7109375" style="122" customWidth="1"/>
    <col min="13566" max="13566" width="0.28515625" style="122" customWidth="1"/>
    <col min="13567" max="13575" width="1.7109375" style="122" customWidth="1"/>
    <col min="13576" max="13576" width="0.28515625" style="122" customWidth="1"/>
    <col min="13577" max="13585" width="1.7109375" style="122" customWidth="1"/>
    <col min="13586" max="13586" width="0.28515625" style="122" customWidth="1"/>
    <col min="13587" max="13595" width="1.7109375" style="122" customWidth="1"/>
    <col min="13596" max="13596" width="0.28515625" style="122" customWidth="1"/>
    <col min="13597" max="13605" width="1.7109375" style="122" customWidth="1"/>
    <col min="13606" max="13606" width="0.28515625" style="122" customWidth="1"/>
    <col min="13607" max="13615" width="1.7109375" style="122" customWidth="1"/>
    <col min="13616" max="13616" width="0.28515625" style="122" customWidth="1"/>
    <col min="13617" max="13625" width="1.7109375" style="122" customWidth="1"/>
    <col min="13626" max="13801" width="9.140625" style="122"/>
    <col min="13802" max="13802" width="0.28515625" style="122" customWidth="1"/>
    <col min="13803" max="13811" width="1.7109375" style="122" customWidth="1"/>
    <col min="13812" max="13812" width="0.28515625" style="122" customWidth="1"/>
    <col min="13813" max="13821" width="1.7109375" style="122" customWidth="1"/>
    <col min="13822" max="13822" width="0.28515625" style="122" customWidth="1"/>
    <col min="13823" max="13831" width="1.7109375" style="122" customWidth="1"/>
    <col min="13832" max="13832" width="0.28515625" style="122" customWidth="1"/>
    <col min="13833" max="13841" width="1.7109375" style="122" customWidth="1"/>
    <col min="13842" max="13842" width="0.28515625" style="122" customWidth="1"/>
    <col min="13843" max="13851" width="1.7109375" style="122" customWidth="1"/>
    <col min="13852" max="13852" width="0.28515625" style="122" customWidth="1"/>
    <col min="13853" max="13861" width="1.7109375" style="122" customWidth="1"/>
    <col min="13862" max="13862" width="0.28515625" style="122" customWidth="1"/>
    <col min="13863" max="13871" width="1.7109375" style="122" customWidth="1"/>
    <col min="13872" max="13872" width="0.28515625" style="122" customWidth="1"/>
    <col min="13873" max="13881" width="1.7109375" style="122" customWidth="1"/>
    <col min="13882" max="14057" width="9.140625" style="122"/>
    <col min="14058" max="14058" width="0.28515625" style="122" customWidth="1"/>
    <col min="14059" max="14067" width="1.7109375" style="122" customWidth="1"/>
    <col min="14068" max="14068" width="0.28515625" style="122" customWidth="1"/>
    <col min="14069" max="14077" width="1.7109375" style="122" customWidth="1"/>
    <col min="14078" max="14078" width="0.28515625" style="122" customWidth="1"/>
    <col min="14079" max="14087" width="1.7109375" style="122" customWidth="1"/>
    <col min="14088" max="14088" width="0.28515625" style="122" customWidth="1"/>
    <col min="14089" max="14097" width="1.7109375" style="122" customWidth="1"/>
    <col min="14098" max="14098" width="0.28515625" style="122" customWidth="1"/>
    <col min="14099" max="14107" width="1.7109375" style="122" customWidth="1"/>
    <col min="14108" max="14108" width="0.28515625" style="122" customWidth="1"/>
    <col min="14109" max="14117" width="1.7109375" style="122" customWidth="1"/>
    <col min="14118" max="14118" width="0.28515625" style="122" customWidth="1"/>
    <col min="14119" max="14127" width="1.7109375" style="122" customWidth="1"/>
    <col min="14128" max="14128" width="0.28515625" style="122" customWidth="1"/>
    <col min="14129" max="14137" width="1.7109375" style="122" customWidth="1"/>
    <col min="14138" max="14313" width="9.140625" style="122"/>
    <col min="14314" max="14314" width="0.28515625" style="122" customWidth="1"/>
    <col min="14315" max="14323" width="1.7109375" style="122" customWidth="1"/>
    <col min="14324" max="14324" width="0.28515625" style="122" customWidth="1"/>
    <col min="14325" max="14333" width="1.7109375" style="122" customWidth="1"/>
    <col min="14334" max="14334" width="0.28515625" style="122" customWidth="1"/>
    <col min="14335" max="14343" width="1.7109375" style="122" customWidth="1"/>
    <col min="14344" max="14344" width="0.28515625" style="122" customWidth="1"/>
    <col min="14345" max="14353" width="1.7109375" style="122" customWidth="1"/>
    <col min="14354" max="14354" width="0.28515625" style="122" customWidth="1"/>
    <col min="14355" max="14363" width="1.7109375" style="122" customWidth="1"/>
    <col min="14364" max="14364" width="0.28515625" style="122" customWidth="1"/>
    <col min="14365" max="14373" width="1.7109375" style="122" customWidth="1"/>
    <col min="14374" max="14374" width="0.28515625" style="122" customWidth="1"/>
    <col min="14375" max="14383" width="1.7109375" style="122" customWidth="1"/>
    <col min="14384" max="14384" width="0.28515625" style="122" customWidth="1"/>
    <col min="14385" max="14393" width="1.7109375" style="122" customWidth="1"/>
    <col min="14394" max="14569" width="9.140625" style="122"/>
    <col min="14570" max="14570" width="0.28515625" style="122" customWidth="1"/>
    <col min="14571" max="14579" width="1.7109375" style="122" customWidth="1"/>
    <col min="14580" max="14580" width="0.28515625" style="122" customWidth="1"/>
    <col min="14581" max="14589" width="1.7109375" style="122" customWidth="1"/>
    <col min="14590" max="14590" width="0.28515625" style="122" customWidth="1"/>
    <col min="14591" max="14599" width="1.7109375" style="122" customWidth="1"/>
    <col min="14600" max="14600" width="0.28515625" style="122" customWidth="1"/>
    <col min="14601" max="14609" width="1.7109375" style="122" customWidth="1"/>
    <col min="14610" max="14610" width="0.28515625" style="122" customWidth="1"/>
    <col min="14611" max="14619" width="1.7109375" style="122" customWidth="1"/>
    <col min="14620" max="14620" width="0.28515625" style="122" customWidth="1"/>
    <col min="14621" max="14629" width="1.7109375" style="122" customWidth="1"/>
    <col min="14630" max="14630" width="0.28515625" style="122" customWidth="1"/>
    <col min="14631" max="14639" width="1.7109375" style="122" customWidth="1"/>
    <col min="14640" max="14640" width="0.28515625" style="122" customWidth="1"/>
    <col min="14641" max="14649" width="1.7109375" style="122" customWidth="1"/>
    <col min="14650" max="14825" width="9.140625" style="122"/>
    <col min="14826" max="14826" width="0.28515625" style="122" customWidth="1"/>
    <col min="14827" max="14835" width="1.7109375" style="122" customWidth="1"/>
    <col min="14836" max="14836" width="0.28515625" style="122" customWidth="1"/>
    <col min="14837" max="14845" width="1.7109375" style="122" customWidth="1"/>
    <col min="14846" max="14846" width="0.28515625" style="122" customWidth="1"/>
    <col min="14847" max="14855" width="1.7109375" style="122" customWidth="1"/>
    <col min="14856" max="14856" width="0.28515625" style="122" customWidth="1"/>
    <col min="14857" max="14865" width="1.7109375" style="122" customWidth="1"/>
    <col min="14866" max="14866" width="0.28515625" style="122" customWidth="1"/>
    <col min="14867" max="14875" width="1.7109375" style="122" customWidth="1"/>
    <col min="14876" max="14876" width="0.28515625" style="122" customWidth="1"/>
    <col min="14877" max="14885" width="1.7109375" style="122" customWidth="1"/>
    <col min="14886" max="14886" width="0.28515625" style="122" customWidth="1"/>
    <col min="14887" max="14895" width="1.7109375" style="122" customWidth="1"/>
    <col min="14896" max="14896" width="0.28515625" style="122" customWidth="1"/>
    <col min="14897" max="14905" width="1.7109375" style="122" customWidth="1"/>
    <col min="14906" max="15081" width="9.140625" style="122"/>
    <col min="15082" max="15082" width="0.28515625" style="122" customWidth="1"/>
    <col min="15083" max="15091" width="1.7109375" style="122" customWidth="1"/>
    <col min="15092" max="15092" width="0.28515625" style="122" customWidth="1"/>
    <col min="15093" max="15101" width="1.7109375" style="122" customWidth="1"/>
    <col min="15102" max="15102" width="0.28515625" style="122" customWidth="1"/>
    <col min="15103" max="15111" width="1.7109375" style="122" customWidth="1"/>
    <col min="15112" max="15112" width="0.28515625" style="122" customWidth="1"/>
    <col min="15113" max="15121" width="1.7109375" style="122" customWidth="1"/>
    <col min="15122" max="15122" width="0.28515625" style="122" customWidth="1"/>
    <col min="15123" max="15131" width="1.7109375" style="122" customWidth="1"/>
    <col min="15132" max="15132" width="0.28515625" style="122" customWidth="1"/>
    <col min="15133" max="15141" width="1.7109375" style="122" customWidth="1"/>
    <col min="15142" max="15142" width="0.28515625" style="122" customWidth="1"/>
    <col min="15143" max="15151" width="1.7109375" style="122" customWidth="1"/>
    <col min="15152" max="15152" width="0.28515625" style="122" customWidth="1"/>
    <col min="15153" max="15161" width="1.7109375" style="122" customWidth="1"/>
    <col min="15162" max="15337" width="9.140625" style="122"/>
    <col min="15338" max="15338" width="0.28515625" style="122" customWidth="1"/>
    <col min="15339" max="15347" width="1.7109375" style="122" customWidth="1"/>
    <col min="15348" max="15348" width="0.28515625" style="122" customWidth="1"/>
    <col min="15349" max="15357" width="1.7109375" style="122" customWidth="1"/>
    <col min="15358" max="15358" width="0.28515625" style="122" customWidth="1"/>
    <col min="15359" max="15367" width="1.7109375" style="122" customWidth="1"/>
    <col min="15368" max="15368" width="0.28515625" style="122" customWidth="1"/>
    <col min="15369" max="15377" width="1.7109375" style="122" customWidth="1"/>
    <col min="15378" max="15378" width="0.28515625" style="122" customWidth="1"/>
    <col min="15379" max="15387" width="1.7109375" style="122" customWidth="1"/>
    <col min="15388" max="15388" width="0.28515625" style="122" customWidth="1"/>
    <col min="15389" max="15397" width="1.7109375" style="122" customWidth="1"/>
    <col min="15398" max="15398" width="0.28515625" style="122" customWidth="1"/>
    <col min="15399" max="15407" width="1.7109375" style="122" customWidth="1"/>
    <col min="15408" max="15408" width="0.28515625" style="122" customWidth="1"/>
    <col min="15409" max="15417" width="1.7109375" style="122" customWidth="1"/>
    <col min="15418" max="15593" width="9.140625" style="122"/>
    <col min="15594" max="15594" width="0.28515625" style="122" customWidth="1"/>
    <col min="15595" max="15603" width="1.7109375" style="122" customWidth="1"/>
    <col min="15604" max="15604" width="0.28515625" style="122" customWidth="1"/>
    <col min="15605" max="15613" width="1.7109375" style="122" customWidth="1"/>
    <col min="15614" max="15614" width="0.28515625" style="122" customWidth="1"/>
    <col min="15615" max="15623" width="1.7109375" style="122" customWidth="1"/>
    <col min="15624" max="15624" width="0.28515625" style="122" customWidth="1"/>
    <col min="15625" max="15633" width="1.7109375" style="122" customWidth="1"/>
    <col min="15634" max="15634" width="0.28515625" style="122" customWidth="1"/>
    <col min="15635" max="15643" width="1.7109375" style="122" customWidth="1"/>
    <col min="15644" max="15644" width="0.28515625" style="122" customWidth="1"/>
    <col min="15645" max="15653" width="1.7109375" style="122" customWidth="1"/>
    <col min="15654" max="15654" width="0.28515625" style="122" customWidth="1"/>
    <col min="15655" max="15663" width="1.7109375" style="122" customWidth="1"/>
    <col min="15664" max="15664" width="0.28515625" style="122" customWidth="1"/>
    <col min="15665" max="15673" width="1.7109375" style="122" customWidth="1"/>
    <col min="15674" max="15849" width="9.140625" style="122"/>
    <col min="15850" max="15850" width="0.28515625" style="122" customWidth="1"/>
    <col min="15851" max="15859" width="1.7109375" style="122" customWidth="1"/>
    <col min="15860" max="15860" width="0.28515625" style="122" customWidth="1"/>
    <col min="15861" max="15869" width="1.7109375" style="122" customWidth="1"/>
    <col min="15870" max="15870" width="0.28515625" style="122" customWidth="1"/>
    <col min="15871" max="15879" width="1.7109375" style="122" customWidth="1"/>
    <col min="15880" max="15880" width="0.28515625" style="122" customWidth="1"/>
    <col min="15881" max="15889" width="1.7109375" style="122" customWidth="1"/>
    <col min="15890" max="15890" width="0.28515625" style="122" customWidth="1"/>
    <col min="15891" max="15899" width="1.7109375" style="122" customWidth="1"/>
    <col min="15900" max="15900" width="0.28515625" style="122" customWidth="1"/>
    <col min="15901" max="15909" width="1.7109375" style="122" customWidth="1"/>
    <col min="15910" max="15910" width="0.28515625" style="122" customWidth="1"/>
    <col min="15911" max="15919" width="1.7109375" style="122" customWidth="1"/>
    <col min="15920" max="15920" width="0.28515625" style="122" customWidth="1"/>
    <col min="15921" max="15929" width="1.7109375" style="122" customWidth="1"/>
    <col min="15930" max="16105" width="9.140625" style="122"/>
    <col min="16106" max="16106" width="0.28515625" style="122" customWidth="1"/>
    <col min="16107" max="16115" width="1.7109375" style="122" customWidth="1"/>
    <col min="16116" max="16116" width="0.28515625" style="122" customWidth="1"/>
    <col min="16117" max="16125" width="1.7109375" style="122" customWidth="1"/>
    <col min="16126" max="16126" width="0.28515625" style="122" customWidth="1"/>
    <col min="16127" max="16135" width="1.7109375" style="122" customWidth="1"/>
    <col min="16136" max="16136" width="0.28515625" style="122" customWidth="1"/>
    <col min="16137" max="16145" width="1.7109375" style="122" customWidth="1"/>
    <col min="16146" max="16146" width="0.28515625" style="122" customWidth="1"/>
    <col min="16147" max="16155" width="1.7109375" style="122" customWidth="1"/>
    <col min="16156" max="16156" width="0.28515625" style="122" customWidth="1"/>
    <col min="16157" max="16165" width="1.7109375" style="122" customWidth="1"/>
    <col min="16166" max="16166" width="0.28515625" style="122" customWidth="1"/>
    <col min="16167" max="16175" width="1.7109375" style="122" customWidth="1"/>
    <col min="16176" max="16176" width="0.28515625" style="122" customWidth="1"/>
    <col min="16177" max="16185" width="1.7109375" style="122" customWidth="1"/>
    <col min="16186" max="16384" width="9.140625" style="122"/>
  </cols>
  <sheetData>
    <row r="1" spans="1:71" s="15" customFormat="1" ht="90.95" customHeight="1" x14ac:dyDescent="0.25">
      <c r="B1" s="65"/>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G1" s="80"/>
      <c r="BH1" s="80"/>
      <c r="BI1" s="80"/>
      <c r="BJ1" s="481" t="s">
        <v>0</v>
      </c>
      <c r="BK1" s="481"/>
      <c r="BL1" s="481"/>
      <c r="BM1" s="456"/>
      <c r="BN1" s="481"/>
      <c r="BO1" s="481"/>
      <c r="BP1" s="481"/>
      <c r="BQ1" s="481"/>
      <c r="BR1" s="481"/>
      <c r="BS1" s="481"/>
    </row>
    <row r="2" spans="1:71" s="15" customFormat="1" ht="27.75" customHeight="1" x14ac:dyDescent="0.25">
      <c r="B2" s="537" t="s">
        <v>729</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row>
    <row r="3" spans="1:71" ht="18" customHeight="1" x14ac:dyDescent="0.25">
      <c r="A3" s="477">
        <v>1.9</v>
      </c>
      <c r="B3" s="478"/>
      <c r="C3" s="478"/>
      <c r="D3" s="478"/>
      <c r="E3" s="478"/>
      <c r="F3" s="478"/>
      <c r="G3" s="478"/>
      <c r="H3" s="478"/>
      <c r="I3" s="478"/>
      <c r="J3" s="478"/>
      <c r="K3" s="155"/>
      <c r="L3" s="479" t="s">
        <v>478</v>
      </c>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80"/>
      <c r="BS3" s="121"/>
    </row>
    <row r="4" spans="1:71" ht="1.5" customHeight="1" x14ac:dyDescent="0.25">
      <c r="B4" s="123"/>
      <c r="C4" s="121"/>
      <c r="D4" s="121"/>
      <c r="E4" s="121"/>
      <c r="F4" s="121"/>
      <c r="G4" s="121"/>
      <c r="H4" s="121"/>
      <c r="I4" s="121"/>
      <c r="J4" s="121"/>
      <c r="K4" s="121"/>
      <c r="L4" s="121"/>
      <c r="M4" s="121"/>
      <c r="N4" s="121"/>
      <c r="O4" s="121"/>
      <c r="P4" s="121"/>
      <c r="Q4" s="121"/>
      <c r="R4" s="121"/>
      <c r="S4" s="121"/>
      <c r="T4" s="121"/>
      <c r="U4" s="121"/>
      <c r="AP4" s="124"/>
      <c r="AQ4" s="124"/>
      <c r="AR4" s="124"/>
      <c r="AS4" s="124"/>
      <c r="AT4" s="124"/>
      <c r="AU4" s="124"/>
      <c r="AV4" s="124"/>
      <c r="AW4" s="124"/>
      <c r="AX4" s="124"/>
      <c r="AZ4" s="121"/>
      <c r="BA4" s="121"/>
      <c r="BB4" s="121"/>
      <c r="BC4" s="121"/>
      <c r="BD4" s="121"/>
      <c r="BE4" s="121"/>
      <c r="BF4" s="121"/>
      <c r="BG4" s="121"/>
      <c r="BH4" s="121"/>
      <c r="BI4" s="121"/>
      <c r="BJ4" s="121"/>
      <c r="BK4" s="121"/>
      <c r="BL4" s="121"/>
      <c r="BM4" s="121"/>
      <c r="BN4" s="121"/>
      <c r="BO4" s="121"/>
      <c r="BP4" s="121"/>
      <c r="BQ4" s="121"/>
      <c r="BR4" s="125"/>
      <c r="BS4" s="121"/>
    </row>
    <row r="5" spans="1:71" s="156" customFormat="1" ht="9" customHeight="1" x14ac:dyDescent="0.25">
      <c r="B5" s="482" t="s">
        <v>355</v>
      </c>
      <c r="C5" s="483"/>
      <c r="D5" s="484"/>
      <c r="E5" s="485" t="s">
        <v>356</v>
      </c>
      <c r="F5" s="486"/>
      <c r="G5" s="486"/>
      <c r="H5" s="486"/>
      <c r="I5" s="486"/>
      <c r="J5" s="487"/>
      <c r="K5" s="157"/>
      <c r="L5" s="482" t="s">
        <v>357</v>
      </c>
      <c r="M5" s="483"/>
      <c r="N5" s="484"/>
      <c r="O5" s="485" t="s">
        <v>356</v>
      </c>
      <c r="P5" s="486"/>
      <c r="Q5" s="486"/>
      <c r="R5" s="486"/>
      <c r="S5" s="486"/>
      <c r="T5" s="487"/>
      <c r="U5" s="157"/>
      <c r="V5" s="482" t="s">
        <v>358</v>
      </c>
      <c r="W5" s="483"/>
      <c r="X5" s="484"/>
      <c r="Y5" s="485" t="s">
        <v>356</v>
      </c>
      <c r="Z5" s="486"/>
      <c r="AA5" s="486"/>
      <c r="AB5" s="486"/>
      <c r="AC5" s="486"/>
      <c r="AD5" s="487"/>
      <c r="AE5" s="158"/>
      <c r="AF5" s="482" t="s">
        <v>359</v>
      </c>
      <c r="AG5" s="483"/>
      <c r="AH5" s="484"/>
      <c r="AI5" s="485" t="s">
        <v>356</v>
      </c>
      <c r="AJ5" s="486"/>
      <c r="AK5" s="486"/>
      <c r="AL5" s="486"/>
      <c r="AM5" s="486"/>
      <c r="AN5" s="487"/>
      <c r="AO5" s="159"/>
      <c r="AP5" s="482" t="s">
        <v>360</v>
      </c>
      <c r="AQ5" s="483"/>
      <c r="AR5" s="484"/>
      <c r="AS5" s="485" t="s">
        <v>361</v>
      </c>
      <c r="AT5" s="486"/>
      <c r="AU5" s="486"/>
      <c r="AV5" s="486"/>
      <c r="AW5" s="486"/>
      <c r="AX5" s="487"/>
      <c r="AY5" s="157"/>
      <c r="AZ5" s="482" t="s">
        <v>362</v>
      </c>
      <c r="BA5" s="483"/>
      <c r="BB5" s="484"/>
      <c r="BC5" s="485" t="s">
        <v>361</v>
      </c>
      <c r="BD5" s="486"/>
      <c r="BE5" s="486"/>
      <c r="BF5" s="486"/>
      <c r="BG5" s="486"/>
      <c r="BH5" s="487"/>
      <c r="BI5" s="157"/>
      <c r="BJ5" s="482" t="s">
        <v>363</v>
      </c>
      <c r="BK5" s="483"/>
      <c r="BL5" s="484"/>
      <c r="BM5" s="485" t="s">
        <v>361</v>
      </c>
      <c r="BN5" s="485"/>
      <c r="BO5" s="486"/>
      <c r="BP5" s="486"/>
      <c r="BQ5" s="486"/>
      <c r="BR5" s="487"/>
    </row>
    <row r="6" spans="1:71" s="160" customFormat="1" ht="9" customHeight="1" x14ac:dyDescent="0.25">
      <c r="B6" s="488"/>
      <c r="C6" s="489"/>
      <c r="D6" s="489"/>
      <c r="E6" s="489"/>
      <c r="F6" s="489"/>
      <c r="G6" s="489"/>
      <c r="H6" s="489"/>
      <c r="I6" s="489"/>
      <c r="J6" s="490"/>
      <c r="K6" s="162"/>
      <c r="L6" s="488" t="s">
        <v>364</v>
      </c>
      <c r="M6" s="489"/>
      <c r="N6" s="489"/>
      <c r="O6" s="489"/>
      <c r="P6" s="489"/>
      <c r="Q6" s="489"/>
      <c r="R6" s="489"/>
      <c r="S6" s="489"/>
      <c r="T6" s="490"/>
      <c r="U6" s="163"/>
      <c r="V6" s="488" t="s">
        <v>365</v>
      </c>
      <c r="W6" s="489"/>
      <c r="X6" s="489"/>
      <c r="Y6" s="489"/>
      <c r="Z6" s="489"/>
      <c r="AA6" s="489"/>
      <c r="AB6" s="489"/>
      <c r="AC6" s="489"/>
      <c r="AD6" s="490"/>
      <c r="AE6" s="162"/>
      <c r="AF6" s="488" t="s">
        <v>366</v>
      </c>
      <c r="AG6" s="489"/>
      <c r="AH6" s="489"/>
      <c r="AI6" s="489"/>
      <c r="AJ6" s="489"/>
      <c r="AK6" s="489"/>
      <c r="AL6" s="489"/>
      <c r="AM6" s="489"/>
      <c r="AN6" s="490"/>
      <c r="AO6" s="163"/>
      <c r="AP6" s="488" t="s">
        <v>367</v>
      </c>
      <c r="AQ6" s="489"/>
      <c r="AR6" s="489"/>
      <c r="AS6" s="489"/>
      <c r="AT6" s="489"/>
      <c r="AU6" s="489"/>
      <c r="AV6" s="489"/>
      <c r="AW6" s="489"/>
      <c r="AX6" s="490"/>
      <c r="AY6" s="163"/>
      <c r="AZ6" s="488" t="s">
        <v>368</v>
      </c>
      <c r="BA6" s="489"/>
      <c r="BB6" s="489"/>
      <c r="BC6" s="489"/>
      <c r="BD6" s="489"/>
      <c r="BE6" s="489"/>
      <c r="BF6" s="489"/>
      <c r="BG6" s="489"/>
      <c r="BH6" s="490"/>
      <c r="BI6" s="163"/>
      <c r="BJ6" s="488" t="s">
        <v>369</v>
      </c>
      <c r="BK6" s="489"/>
      <c r="BL6" s="489"/>
      <c r="BM6" s="489"/>
      <c r="BN6" s="489"/>
      <c r="BO6" s="489"/>
      <c r="BP6" s="489"/>
      <c r="BQ6" s="489"/>
      <c r="BR6" s="490"/>
    </row>
    <row r="7" spans="1:71" s="156" customFormat="1" ht="9" customHeight="1" x14ac:dyDescent="0.25">
      <c r="A7" s="164"/>
      <c r="B7" s="157"/>
      <c r="C7" s="157"/>
      <c r="D7" s="157"/>
      <c r="E7" s="157"/>
      <c r="F7" s="157"/>
      <c r="G7" s="157"/>
      <c r="H7" s="157"/>
      <c r="I7" s="157"/>
      <c r="J7" s="159"/>
      <c r="K7" s="165"/>
      <c r="L7" s="157"/>
      <c r="M7" s="157"/>
      <c r="N7" s="157"/>
      <c r="O7" s="157"/>
      <c r="P7" s="157"/>
      <c r="Q7" s="157"/>
      <c r="R7" s="157"/>
      <c r="S7" s="157"/>
      <c r="T7" s="159"/>
      <c r="U7" s="159"/>
      <c r="V7" s="157"/>
      <c r="W7" s="157"/>
      <c r="X7" s="157"/>
      <c r="Y7" s="157"/>
      <c r="Z7" s="157"/>
      <c r="AA7" s="157"/>
      <c r="AB7" s="157"/>
      <c r="AC7" s="157"/>
      <c r="AD7" s="159"/>
      <c r="AE7" s="165"/>
      <c r="AF7" s="157"/>
      <c r="AG7" s="157"/>
      <c r="AH7" s="157"/>
      <c r="AI7" s="157"/>
      <c r="AJ7" s="157"/>
      <c r="AK7" s="157"/>
      <c r="AL7" s="157"/>
      <c r="AM7" s="157"/>
      <c r="AN7" s="159"/>
      <c r="AO7" s="159"/>
      <c r="AP7" s="157"/>
      <c r="AQ7" s="157"/>
      <c r="AR7" s="157"/>
      <c r="AS7" s="157"/>
      <c r="AT7" s="157"/>
      <c r="AU7" s="157"/>
      <c r="AV7" s="157"/>
      <c r="AW7" s="157"/>
      <c r="AX7" s="159"/>
      <c r="AY7" s="159"/>
      <c r="AZ7" s="157"/>
      <c r="BA7" s="157"/>
      <c r="BB7" s="157"/>
      <c r="BC7" s="157"/>
      <c r="BD7" s="157"/>
      <c r="BE7" s="157"/>
      <c r="BF7" s="157"/>
      <c r="BG7" s="157"/>
      <c r="BH7" s="159"/>
      <c r="BI7" s="159"/>
      <c r="BJ7" s="157"/>
      <c r="BK7" s="157"/>
      <c r="BL7" s="157"/>
      <c r="BM7" s="157"/>
      <c r="BN7" s="157"/>
      <c r="BO7" s="157"/>
      <c r="BP7" s="157"/>
      <c r="BQ7" s="157"/>
      <c r="BR7" s="159"/>
    </row>
    <row r="8" spans="1:71" s="156" customFormat="1" ht="9" customHeight="1" x14ac:dyDescent="0.25">
      <c r="A8" s="164"/>
      <c r="B8" s="157"/>
      <c r="C8" s="157"/>
      <c r="D8" s="157"/>
      <c r="E8" s="157"/>
      <c r="F8" s="157"/>
      <c r="G8" s="157"/>
      <c r="H8" s="157"/>
      <c r="I8" s="157"/>
      <c r="J8" s="159"/>
      <c r="K8" s="165"/>
      <c r="L8" s="157"/>
      <c r="M8" s="157"/>
      <c r="N8" s="157"/>
      <c r="O8" s="157"/>
      <c r="P8" s="157"/>
      <c r="Q8" s="157"/>
      <c r="R8" s="157"/>
      <c r="S8" s="157"/>
      <c r="T8" s="159"/>
      <c r="U8" s="159"/>
      <c r="V8" s="157"/>
      <c r="W8" s="157"/>
      <c r="X8" s="157"/>
      <c r="Y8" s="157"/>
      <c r="Z8" s="157"/>
      <c r="AA8" s="157"/>
      <c r="AB8" s="157"/>
      <c r="AC8" s="157"/>
      <c r="AD8" s="159"/>
      <c r="AE8" s="165"/>
      <c r="AF8" s="157"/>
      <c r="AG8" s="157"/>
      <c r="AH8" s="157"/>
      <c r="AI8" s="157"/>
      <c r="AJ8" s="157"/>
      <c r="AK8" s="157"/>
      <c r="AL8" s="157"/>
      <c r="AM8" s="157"/>
      <c r="AN8" s="159"/>
      <c r="AO8" s="159"/>
      <c r="AP8" s="157"/>
      <c r="AQ8" s="157"/>
      <c r="AR8" s="157"/>
      <c r="AS8" s="157"/>
      <c r="AT8" s="157"/>
      <c r="AU8" s="157"/>
      <c r="AV8" s="157"/>
      <c r="AW8" s="157"/>
      <c r="AX8" s="159"/>
      <c r="AY8" s="159"/>
      <c r="AZ8" s="157"/>
      <c r="BA8" s="157"/>
      <c r="BB8" s="157"/>
      <c r="BC8" s="157"/>
      <c r="BD8" s="157"/>
      <c r="BE8" s="157"/>
      <c r="BF8" s="157"/>
      <c r="BG8" s="157"/>
      <c r="BH8" s="159"/>
      <c r="BI8" s="159"/>
      <c r="BJ8" s="157"/>
      <c r="BK8" s="157"/>
      <c r="BL8" s="157"/>
      <c r="BM8" s="157"/>
      <c r="BN8" s="157"/>
      <c r="BO8" s="157"/>
      <c r="BP8" s="157"/>
      <c r="BQ8" s="157"/>
      <c r="BR8" s="159"/>
    </row>
    <row r="9" spans="1:71" s="156" customFormat="1" ht="9" customHeight="1" x14ac:dyDescent="0.25">
      <c r="A9" s="164"/>
      <c r="B9" s="157"/>
      <c r="C9" s="157"/>
      <c r="D9" s="157"/>
      <c r="E9" s="157"/>
      <c r="F9" s="157"/>
      <c r="G9" s="157"/>
      <c r="H9" s="157"/>
      <c r="I9" s="157"/>
      <c r="J9" s="159"/>
      <c r="K9" s="165"/>
      <c r="L9" s="157"/>
      <c r="M9" s="157"/>
      <c r="N9" s="157"/>
      <c r="O9" s="157"/>
      <c r="P9" s="157"/>
      <c r="Q9" s="157"/>
      <c r="R9" s="157"/>
      <c r="S9" s="157"/>
      <c r="T9" s="159"/>
      <c r="U9" s="159"/>
      <c r="V9" s="157"/>
      <c r="W9" s="157"/>
      <c r="X9" s="157"/>
      <c r="Y9" s="157"/>
      <c r="Z9" s="157"/>
      <c r="AA9" s="157"/>
      <c r="AB9" s="157"/>
      <c r="AC9" s="157"/>
      <c r="AD9" s="159"/>
      <c r="AE9" s="165"/>
      <c r="AF9" s="157"/>
      <c r="AG9" s="157"/>
      <c r="AH9" s="157"/>
      <c r="AI9" s="157"/>
      <c r="AJ9" s="157"/>
      <c r="AK9" s="157"/>
      <c r="AL9" s="157"/>
      <c r="AM9" s="157"/>
      <c r="AN9" s="159"/>
      <c r="AO9" s="159"/>
      <c r="AP9" s="157"/>
      <c r="AQ9" s="157"/>
      <c r="AR9" s="157"/>
      <c r="AS9" s="157"/>
      <c r="AT9" s="157"/>
      <c r="AU9" s="157"/>
      <c r="AV9" s="157"/>
      <c r="AW9" s="157"/>
      <c r="AX9" s="159"/>
      <c r="AY9" s="159"/>
      <c r="AZ9" s="157"/>
      <c r="BA9" s="157"/>
      <c r="BB9" s="157"/>
      <c r="BC9" s="157"/>
      <c r="BD9" s="157"/>
      <c r="BE9" s="157"/>
      <c r="BF9" s="157"/>
      <c r="BG9" s="157"/>
      <c r="BH9" s="159"/>
      <c r="BI9" s="159"/>
      <c r="BJ9" s="157"/>
      <c r="BK9" s="157"/>
      <c r="BL9" s="157"/>
      <c r="BM9" s="157"/>
      <c r="BN9" s="157"/>
      <c r="BO9" s="157"/>
      <c r="BP9" s="157"/>
      <c r="BQ9" s="157"/>
      <c r="BR9" s="159"/>
    </row>
    <row r="10" spans="1:71" s="156" customFormat="1" ht="9" customHeight="1" x14ac:dyDescent="0.25">
      <c r="A10" s="164"/>
      <c r="B10" s="157"/>
      <c r="C10" s="157"/>
      <c r="D10" s="157"/>
      <c r="E10" s="157"/>
      <c r="F10" s="157"/>
      <c r="G10" s="157"/>
      <c r="H10" s="157"/>
      <c r="I10" s="157"/>
      <c r="J10" s="159"/>
      <c r="K10" s="165"/>
      <c r="L10" s="157"/>
      <c r="M10" s="157"/>
      <c r="N10" s="157"/>
      <c r="O10" s="157"/>
      <c r="P10" s="157"/>
      <c r="Q10" s="157"/>
      <c r="R10" s="157"/>
      <c r="S10" s="157"/>
      <c r="T10" s="159"/>
      <c r="U10" s="159"/>
      <c r="V10" s="157"/>
      <c r="W10" s="157"/>
      <c r="X10" s="157"/>
      <c r="Y10" s="157"/>
      <c r="Z10" s="157"/>
      <c r="AA10" s="157"/>
      <c r="AB10" s="157"/>
      <c r="AC10" s="157"/>
      <c r="AD10" s="159"/>
      <c r="AE10" s="165"/>
      <c r="AF10" s="157"/>
      <c r="AG10" s="157"/>
      <c r="AH10" s="157"/>
      <c r="AI10" s="157"/>
      <c r="AJ10" s="157"/>
      <c r="AK10" s="157"/>
      <c r="AL10" s="157"/>
      <c r="AM10" s="157"/>
      <c r="AN10" s="159"/>
      <c r="AO10" s="159"/>
      <c r="AP10" s="157"/>
      <c r="AQ10" s="157"/>
      <c r="AR10" s="157"/>
      <c r="AS10" s="157"/>
      <c r="AT10" s="157"/>
      <c r="AU10" s="157"/>
      <c r="AV10" s="157"/>
      <c r="AW10" s="157"/>
      <c r="AX10" s="159"/>
      <c r="AY10" s="159"/>
      <c r="AZ10" s="157"/>
      <c r="BA10" s="157"/>
      <c r="BB10" s="157"/>
      <c r="BC10" s="157"/>
      <c r="BD10" s="157"/>
      <c r="BE10" s="157"/>
      <c r="BF10" s="157"/>
      <c r="BG10" s="157"/>
      <c r="BH10" s="159"/>
      <c r="BI10" s="159"/>
      <c r="BJ10" s="157"/>
      <c r="BK10" s="157"/>
      <c r="BL10" s="157"/>
      <c r="BM10" s="157"/>
      <c r="BN10" s="157"/>
      <c r="BO10" s="157"/>
      <c r="BP10" s="157"/>
      <c r="BQ10" s="157"/>
      <c r="BR10" s="159"/>
    </row>
    <row r="11" spans="1:71" s="156" customFormat="1" ht="9" customHeight="1" x14ac:dyDescent="0.25">
      <c r="A11" s="164"/>
      <c r="B11" s="157"/>
      <c r="C11" s="157"/>
      <c r="D11" s="157"/>
      <c r="E11" s="157"/>
      <c r="F11" s="157"/>
      <c r="G11" s="157"/>
      <c r="H11" s="157"/>
      <c r="I11" s="157"/>
      <c r="J11" s="159"/>
      <c r="K11" s="165"/>
      <c r="L11" s="157"/>
      <c r="M11" s="157"/>
      <c r="N11" s="157"/>
      <c r="O11" s="157"/>
      <c r="P11" s="157"/>
      <c r="Q11" s="157"/>
      <c r="R11" s="157"/>
      <c r="S11" s="157"/>
      <c r="T11" s="159"/>
      <c r="U11" s="159"/>
      <c r="V11" s="157"/>
      <c r="W11" s="157"/>
      <c r="X11" s="157"/>
      <c r="Y11" s="157"/>
      <c r="Z11" s="157"/>
      <c r="AA11" s="157"/>
      <c r="AB11" s="157"/>
      <c r="AC11" s="157"/>
      <c r="AD11" s="159"/>
      <c r="AE11" s="165"/>
      <c r="AF11" s="157"/>
      <c r="AG11" s="157"/>
      <c r="AH11" s="157"/>
      <c r="AI11" s="157"/>
      <c r="AJ11" s="157"/>
      <c r="AK11" s="157"/>
      <c r="AL11" s="157"/>
      <c r="AM11" s="157"/>
      <c r="AN11" s="159"/>
      <c r="AO11" s="159"/>
      <c r="AP11" s="157"/>
      <c r="AQ11" s="157"/>
      <c r="AR11" s="157"/>
      <c r="AS11" s="157"/>
      <c r="AT11" s="157"/>
      <c r="AU11" s="157"/>
      <c r="AV11" s="157"/>
      <c r="AW11" s="157"/>
      <c r="AX11" s="159"/>
      <c r="AY11" s="159"/>
      <c r="AZ11" s="157"/>
      <c r="BA11" s="157"/>
      <c r="BB11" s="157"/>
      <c r="BC11" s="157"/>
      <c r="BD11" s="157"/>
      <c r="BE11" s="157"/>
      <c r="BF11" s="157"/>
      <c r="BG11" s="157"/>
      <c r="BH11" s="159"/>
      <c r="BI11" s="159"/>
      <c r="BJ11" s="157"/>
      <c r="BK11" s="157"/>
      <c r="BL11" s="157"/>
      <c r="BM11" s="157"/>
      <c r="BN11" s="157"/>
      <c r="BO11" s="157"/>
      <c r="BP11" s="157"/>
      <c r="BQ11" s="157"/>
      <c r="BR11" s="159"/>
    </row>
    <row r="12" spans="1:71" s="156" customFormat="1" ht="9" customHeight="1" x14ac:dyDescent="0.25">
      <c r="A12" s="164"/>
      <c r="B12" s="157"/>
      <c r="C12" s="157"/>
      <c r="D12" s="157"/>
      <c r="E12" s="157"/>
      <c r="F12" s="157"/>
      <c r="G12" s="157"/>
      <c r="H12" s="157"/>
      <c r="I12" s="157"/>
      <c r="J12" s="159"/>
      <c r="K12" s="165"/>
      <c r="L12" s="157"/>
      <c r="M12" s="157"/>
      <c r="N12" s="157"/>
      <c r="O12" s="157"/>
      <c r="P12" s="157"/>
      <c r="Q12" s="157"/>
      <c r="R12" s="157"/>
      <c r="S12" s="157"/>
      <c r="T12" s="159"/>
      <c r="U12" s="159"/>
      <c r="V12" s="157"/>
      <c r="W12" s="157"/>
      <c r="X12" s="157"/>
      <c r="Y12" s="157"/>
      <c r="Z12" s="157"/>
      <c r="AA12" s="157"/>
      <c r="AB12" s="157"/>
      <c r="AC12" s="157"/>
      <c r="AD12" s="159"/>
      <c r="AE12" s="165"/>
      <c r="AF12" s="157"/>
      <c r="AG12" s="157"/>
      <c r="AH12" s="157"/>
      <c r="AI12" s="157"/>
      <c r="AJ12" s="157"/>
      <c r="AK12" s="157"/>
      <c r="AL12" s="157"/>
      <c r="AM12" s="157"/>
      <c r="AN12" s="159"/>
      <c r="AO12" s="159"/>
      <c r="AP12" s="157"/>
      <c r="AQ12" s="157"/>
      <c r="AR12" s="157"/>
      <c r="AS12" s="157"/>
      <c r="AT12" s="157"/>
      <c r="AU12" s="157"/>
      <c r="AV12" s="157"/>
      <c r="AW12" s="157"/>
      <c r="AX12" s="159"/>
      <c r="AY12" s="159"/>
      <c r="AZ12" s="157"/>
      <c r="BA12" s="157"/>
      <c r="BB12" s="157"/>
      <c r="BC12" s="157"/>
      <c r="BD12" s="157"/>
      <c r="BE12" s="157"/>
      <c r="BF12" s="157"/>
      <c r="BG12" s="157"/>
      <c r="BH12" s="159"/>
      <c r="BI12" s="159"/>
      <c r="BJ12" s="157"/>
      <c r="BK12" s="157"/>
      <c r="BL12" s="157"/>
      <c r="BM12" s="157"/>
      <c r="BN12" s="157"/>
      <c r="BO12" s="157"/>
      <c r="BP12" s="157"/>
      <c r="BQ12" s="157"/>
      <c r="BR12" s="159"/>
    </row>
    <row r="13" spans="1:71" s="156" customFormat="1" ht="9" customHeight="1" x14ac:dyDescent="0.25">
      <c r="A13" s="164"/>
      <c r="B13" s="157"/>
      <c r="C13" s="157"/>
      <c r="D13" s="157"/>
      <c r="E13" s="157"/>
      <c r="F13" s="157"/>
      <c r="G13" s="157"/>
      <c r="H13" s="157"/>
      <c r="I13" s="157"/>
      <c r="J13" s="159"/>
      <c r="K13" s="165"/>
      <c r="L13" s="157"/>
      <c r="M13" s="157"/>
      <c r="N13" s="157"/>
      <c r="O13" s="157"/>
      <c r="P13" s="157"/>
      <c r="Q13" s="157"/>
      <c r="R13" s="157"/>
      <c r="S13" s="157"/>
      <c r="T13" s="159"/>
      <c r="U13" s="159"/>
      <c r="V13" s="157"/>
      <c r="W13" s="157"/>
      <c r="X13" s="157"/>
      <c r="Y13" s="157"/>
      <c r="Z13" s="157"/>
      <c r="AA13" s="157"/>
      <c r="AB13" s="157"/>
      <c r="AC13" s="157"/>
      <c r="AD13" s="159"/>
      <c r="AE13" s="165"/>
      <c r="AF13" s="157"/>
      <c r="AG13" s="157"/>
      <c r="AH13" s="157"/>
      <c r="AI13" s="157"/>
      <c r="AJ13" s="157"/>
      <c r="AK13" s="157"/>
      <c r="AL13" s="157"/>
      <c r="AM13" s="157"/>
      <c r="AN13" s="159"/>
      <c r="AO13" s="159"/>
      <c r="AP13" s="157"/>
      <c r="AQ13" s="157"/>
      <c r="AR13" s="157"/>
      <c r="AS13" s="157"/>
      <c r="AT13" s="157"/>
      <c r="AU13" s="157"/>
      <c r="AV13" s="157"/>
      <c r="AW13" s="157"/>
      <c r="AX13" s="159"/>
      <c r="AY13" s="159"/>
      <c r="AZ13" s="157"/>
      <c r="BA13" s="157"/>
      <c r="BB13" s="157"/>
      <c r="BC13" s="157"/>
      <c r="BD13" s="157"/>
      <c r="BE13" s="157"/>
      <c r="BF13" s="157"/>
      <c r="BG13" s="157"/>
      <c r="BH13" s="159"/>
      <c r="BI13" s="159"/>
      <c r="BJ13" s="157"/>
      <c r="BK13" s="157"/>
      <c r="BL13" s="157"/>
      <c r="BM13" s="157"/>
      <c r="BN13" s="157"/>
      <c r="BO13" s="157"/>
      <c r="BP13" s="157"/>
      <c r="BQ13" s="157"/>
      <c r="BR13" s="159"/>
    </row>
    <row r="14" spans="1:71" s="156" customFormat="1" ht="9" customHeight="1" x14ac:dyDescent="0.25">
      <c r="A14" s="164"/>
      <c r="B14" s="157"/>
      <c r="C14" s="157"/>
      <c r="D14" s="157"/>
      <c r="E14" s="157"/>
      <c r="F14" s="157"/>
      <c r="G14" s="157"/>
      <c r="H14" s="157"/>
      <c r="I14" s="157"/>
      <c r="J14" s="159"/>
      <c r="K14" s="165"/>
      <c r="L14" s="157"/>
      <c r="M14" s="157"/>
      <c r="N14" s="157"/>
      <c r="O14" s="157"/>
      <c r="P14" s="157"/>
      <c r="Q14" s="157"/>
      <c r="R14" s="157"/>
      <c r="S14" s="157"/>
      <c r="T14" s="159"/>
      <c r="U14" s="159"/>
      <c r="V14" s="157"/>
      <c r="W14" s="157"/>
      <c r="X14" s="157"/>
      <c r="Y14" s="157"/>
      <c r="Z14" s="157"/>
      <c r="AA14" s="157"/>
      <c r="AB14" s="157"/>
      <c r="AC14" s="157"/>
      <c r="AD14" s="159"/>
      <c r="AE14" s="165"/>
      <c r="AF14" s="157"/>
      <c r="AG14" s="157"/>
      <c r="AH14" s="157"/>
      <c r="AI14" s="157"/>
      <c r="AJ14" s="157"/>
      <c r="AK14" s="157"/>
      <c r="AL14" s="157"/>
      <c r="AM14" s="157"/>
      <c r="AN14" s="159"/>
      <c r="AO14" s="159"/>
      <c r="AP14" s="157"/>
      <c r="AQ14" s="157"/>
      <c r="AR14" s="157"/>
      <c r="AS14" s="157"/>
      <c r="AT14" s="157"/>
      <c r="AU14" s="157"/>
      <c r="AV14" s="157"/>
      <c r="AW14" s="157"/>
      <c r="AX14" s="159"/>
      <c r="AY14" s="159"/>
      <c r="AZ14" s="157"/>
      <c r="BA14" s="157"/>
      <c r="BB14" s="157"/>
      <c r="BC14" s="157"/>
      <c r="BD14" s="157"/>
      <c r="BE14" s="157"/>
      <c r="BF14" s="157"/>
      <c r="BG14" s="157"/>
      <c r="BH14" s="159"/>
      <c r="BI14" s="159"/>
      <c r="BJ14" s="157"/>
      <c r="BK14" s="157"/>
      <c r="BL14" s="157"/>
      <c r="BM14" s="157"/>
      <c r="BN14" s="157"/>
      <c r="BO14" s="157"/>
      <c r="BP14" s="157"/>
      <c r="BQ14" s="157"/>
      <c r="BR14" s="159"/>
    </row>
    <row r="15" spans="1:71" s="156" customFormat="1" ht="9.75" customHeight="1" x14ac:dyDescent="0.25">
      <c r="A15" s="164"/>
      <c r="B15" s="157"/>
      <c r="C15" s="157"/>
      <c r="D15" s="157"/>
      <c r="E15" s="157"/>
      <c r="F15" s="157"/>
      <c r="G15" s="157"/>
      <c r="H15" s="157"/>
      <c r="I15" s="157"/>
      <c r="J15" s="159"/>
      <c r="K15" s="165"/>
      <c r="L15" s="157"/>
      <c r="M15" s="157"/>
      <c r="N15" s="157"/>
      <c r="O15" s="157"/>
      <c r="P15" s="157"/>
      <c r="Q15" s="157"/>
      <c r="R15" s="157"/>
      <c r="S15" s="157"/>
      <c r="T15" s="159"/>
      <c r="U15" s="159"/>
      <c r="V15" s="157"/>
      <c r="W15" s="157"/>
      <c r="X15" s="157"/>
      <c r="Y15" s="157"/>
      <c r="Z15" s="157"/>
      <c r="AA15" s="157"/>
      <c r="AB15" s="157"/>
      <c r="AC15" s="157"/>
      <c r="AD15" s="159"/>
      <c r="AE15" s="165"/>
      <c r="AF15" s="157"/>
      <c r="AG15" s="157"/>
      <c r="AH15" s="157"/>
      <c r="AI15" s="157"/>
      <c r="AJ15" s="157"/>
      <c r="AK15" s="157"/>
      <c r="AL15" s="157"/>
      <c r="AM15" s="157"/>
      <c r="AN15" s="159"/>
      <c r="AO15" s="159"/>
      <c r="AP15" s="157"/>
      <c r="AQ15" s="157"/>
      <c r="AR15" s="157"/>
      <c r="AS15" s="157"/>
      <c r="AT15" s="157"/>
      <c r="AU15" s="157"/>
      <c r="AV15" s="157"/>
      <c r="AW15" s="157"/>
      <c r="AX15" s="159"/>
      <c r="AY15" s="159"/>
      <c r="AZ15" s="157"/>
      <c r="BA15" s="157"/>
      <c r="BB15" s="157"/>
      <c r="BC15" s="157"/>
      <c r="BD15" s="157"/>
      <c r="BE15" s="157"/>
      <c r="BF15" s="157"/>
      <c r="BG15" s="157"/>
      <c r="BH15" s="159"/>
      <c r="BI15" s="159"/>
      <c r="BJ15" s="157"/>
      <c r="BK15" s="157"/>
      <c r="BL15" s="157"/>
      <c r="BM15" s="157"/>
      <c r="BN15" s="157"/>
      <c r="BO15" s="157"/>
      <c r="BP15" s="157"/>
      <c r="BQ15" s="157"/>
      <c r="BR15" s="159"/>
    </row>
    <row r="16" spans="1:71" s="156" customFormat="1" ht="9" customHeight="1" x14ac:dyDescent="0.25">
      <c r="B16" s="493" t="s">
        <v>370</v>
      </c>
      <c r="C16" s="493"/>
      <c r="D16" s="493"/>
      <c r="E16" s="493"/>
      <c r="F16" s="493"/>
      <c r="G16" s="492">
        <f>CEILING(1623*A3,1)</f>
        <v>3084</v>
      </c>
      <c r="H16" s="492"/>
      <c r="I16" s="492"/>
      <c r="J16" s="492"/>
      <c r="K16" s="127"/>
      <c r="L16" s="128"/>
      <c r="M16" s="129"/>
      <c r="N16" s="129"/>
      <c r="O16" s="129"/>
      <c r="P16" s="129"/>
      <c r="Q16" s="129"/>
      <c r="R16" s="129"/>
      <c r="S16" s="129"/>
      <c r="T16" s="130"/>
      <c r="U16" s="130"/>
      <c r="V16" s="129"/>
      <c r="W16" s="129"/>
      <c r="X16" s="129"/>
      <c r="Y16" s="129"/>
      <c r="Z16" s="129"/>
      <c r="AA16" s="129"/>
      <c r="AB16" s="129"/>
      <c r="AC16" s="129"/>
      <c r="AD16" s="130"/>
      <c r="AE16" s="131"/>
      <c r="AF16" s="129"/>
      <c r="AG16" s="129"/>
      <c r="AH16" s="129"/>
      <c r="AI16" s="129"/>
      <c r="AJ16" s="129"/>
      <c r="AK16" s="129"/>
      <c r="AL16" s="129"/>
      <c r="AM16" s="129"/>
      <c r="AN16" s="130"/>
      <c r="AO16" s="130"/>
      <c r="AP16" s="128"/>
      <c r="AQ16" s="129"/>
      <c r="AR16" s="129"/>
      <c r="AS16" s="129"/>
      <c r="AT16" s="129"/>
      <c r="AU16" s="129"/>
      <c r="AV16" s="129"/>
      <c r="AW16" s="129"/>
      <c r="AX16" s="130"/>
      <c r="AY16" s="130"/>
      <c r="AZ16" s="128"/>
      <c r="BA16" s="129"/>
      <c r="BB16" s="129"/>
      <c r="BC16" s="129"/>
      <c r="BD16" s="129"/>
      <c r="BE16" s="129"/>
      <c r="BF16" s="129"/>
      <c r="BG16" s="129"/>
      <c r="BH16" s="130"/>
      <c r="BI16" s="130"/>
      <c r="BJ16" s="128"/>
      <c r="BK16" s="129"/>
      <c r="BL16" s="129"/>
      <c r="BM16" s="129"/>
      <c r="BN16" s="129"/>
      <c r="BO16" s="129"/>
      <c r="BP16" s="129"/>
      <c r="BQ16" s="129"/>
      <c r="BR16" s="130"/>
    </row>
    <row r="17" spans="2:70" s="156" customFormat="1" ht="9" customHeight="1" x14ac:dyDescent="0.25">
      <c r="B17" s="493" t="s">
        <v>371</v>
      </c>
      <c r="C17" s="493"/>
      <c r="D17" s="493"/>
      <c r="E17" s="493"/>
      <c r="F17" s="493"/>
      <c r="G17" s="492">
        <f>CEILING(1838*A3,1)</f>
        <v>3493</v>
      </c>
      <c r="H17" s="492"/>
      <c r="I17" s="492"/>
      <c r="J17" s="492"/>
      <c r="K17" s="132"/>
      <c r="L17" s="491" t="s">
        <v>371</v>
      </c>
      <c r="M17" s="491"/>
      <c r="N17" s="491"/>
      <c r="O17" s="491"/>
      <c r="P17" s="491"/>
      <c r="Q17" s="492">
        <f>CEILING(2666*A3,1)</f>
        <v>5066</v>
      </c>
      <c r="R17" s="492"/>
      <c r="S17" s="492"/>
      <c r="T17" s="492"/>
      <c r="U17" s="130"/>
      <c r="V17" s="134"/>
      <c r="W17" s="134"/>
      <c r="X17" s="134"/>
      <c r="Y17" s="134"/>
      <c r="Z17" s="134"/>
      <c r="AA17" s="134"/>
      <c r="AB17" s="134"/>
      <c r="AC17" s="134"/>
      <c r="AD17" s="135"/>
      <c r="AE17" s="136"/>
      <c r="AF17" s="134"/>
      <c r="AG17" s="134"/>
      <c r="AH17" s="134"/>
      <c r="AI17" s="134"/>
      <c r="AJ17" s="134"/>
      <c r="AK17" s="134"/>
      <c r="AL17" s="134"/>
      <c r="AM17" s="134"/>
      <c r="AN17" s="135"/>
      <c r="AO17" s="134"/>
      <c r="AP17" s="491" t="s">
        <v>371</v>
      </c>
      <c r="AQ17" s="491"/>
      <c r="AR17" s="491"/>
      <c r="AS17" s="491"/>
      <c r="AT17" s="491"/>
      <c r="AU17" s="492">
        <f>CEILING(2767*A3,1)</f>
        <v>5258</v>
      </c>
      <c r="AV17" s="492"/>
      <c r="AW17" s="492"/>
      <c r="AX17" s="492"/>
      <c r="AY17" s="137"/>
      <c r="AZ17" s="491" t="s">
        <v>371</v>
      </c>
      <c r="BA17" s="491"/>
      <c r="BB17" s="491"/>
      <c r="BC17" s="491"/>
      <c r="BD17" s="491"/>
      <c r="BE17" s="492">
        <f>CEILING(3708*A3,1)</f>
        <v>7046</v>
      </c>
      <c r="BF17" s="492"/>
      <c r="BG17" s="492"/>
      <c r="BH17" s="492"/>
      <c r="BI17" s="137"/>
      <c r="BJ17" s="506" t="s">
        <v>371</v>
      </c>
      <c r="BK17" s="506"/>
      <c r="BL17" s="506"/>
      <c r="BM17" s="491"/>
      <c r="BN17" s="506"/>
      <c r="BO17" s="126">
        <f>CEILING(3414*A3,1)</f>
        <v>6487</v>
      </c>
      <c r="BP17" s="509"/>
      <c r="BQ17" s="510"/>
      <c r="BR17" s="511"/>
    </row>
    <row r="18" spans="2:70" s="156" customFormat="1" ht="9" customHeight="1" x14ac:dyDescent="0.25">
      <c r="B18" s="494" t="s">
        <v>372</v>
      </c>
      <c r="C18" s="495"/>
      <c r="D18" s="495"/>
      <c r="E18" s="495"/>
      <c r="F18" s="496"/>
      <c r="G18" s="497">
        <f>CEILING(2047*A3,1)</f>
        <v>3890</v>
      </c>
      <c r="H18" s="498"/>
      <c r="I18" s="498"/>
      <c r="J18" s="499"/>
      <c r="K18" s="138"/>
      <c r="L18" s="500" t="s">
        <v>372</v>
      </c>
      <c r="M18" s="501"/>
      <c r="N18" s="501"/>
      <c r="O18" s="501"/>
      <c r="P18" s="502"/>
      <c r="Q18" s="497">
        <f>CEILING(2892*A3,1)</f>
        <v>5495</v>
      </c>
      <c r="R18" s="498"/>
      <c r="S18" s="498"/>
      <c r="T18" s="499"/>
      <c r="U18" s="130"/>
      <c r="V18" s="129"/>
      <c r="W18" s="129"/>
      <c r="X18" s="129"/>
      <c r="Y18" s="129"/>
      <c r="Z18" s="129"/>
      <c r="AA18" s="129"/>
      <c r="AB18" s="129"/>
      <c r="AC18" s="129"/>
      <c r="AD18" s="130"/>
      <c r="AE18" s="131"/>
      <c r="AF18" s="129"/>
      <c r="AG18" s="129"/>
      <c r="AH18" s="129"/>
      <c r="AI18" s="129"/>
      <c r="AJ18" s="129"/>
      <c r="AK18" s="129"/>
      <c r="AL18" s="129"/>
      <c r="AM18" s="129"/>
      <c r="AN18" s="130"/>
      <c r="AO18" s="129"/>
      <c r="AP18" s="491" t="s">
        <v>372</v>
      </c>
      <c r="AQ18" s="491"/>
      <c r="AR18" s="491"/>
      <c r="AS18" s="491"/>
      <c r="AT18" s="491"/>
      <c r="AU18" s="492">
        <f>CEILING(2963*A3,1)</f>
        <v>5630</v>
      </c>
      <c r="AV18" s="492"/>
      <c r="AW18" s="492"/>
      <c r="AX18" s="492"/>
      <c r="AY18" s="137"/>
      <c r="AZ18" s="491" t="s">
        <v>372</v>
      </c>
      <c r="BA18" s="491"/>
      <c r="BB18" s="491"/>
      <c r="BC18" s="491"/>
      <c r="BD18" s="491"/>
      <c r="BE18" s="492">
        <f>CEILING(3950*A3,1)</f>
        <v>7505</v>
      </c>
      <c r="BF18" s="492"/>
      <c r="BG18" s="492"/>
      <c r="BH18" s="492"/>
      <c r="BI18" s="137"/>
      <c r="BJ18" s="506" t="s">
        <v>372</v>
      </c>
      <c r="BK18" s="506"/>
      <c r="BL18" s="506"/>
      <c r="BM18" s="491"/>
      <c r="BN18" s="506"/>
      <c r="BO18" s="126">
        <f>CEILING(3667*A3,1)</f>
        <v>6968</v>
      </c>
      <c r="BP18" s="509"/>
      <c r="BQ18" s="510"/>
      <c r="BR18" s="511"/>
    </row>
    <row r="19" spans="2:70" s="156" customFormat="1" ht="9" customHeight="1" x14ac:dyDescent="0.25">
      <c r="B19" s="493" t="s">
        <v>373</v>
      </c>
      <c r="C19" s="493"/>
      <c r="D19" s="493"/>
      <c r="E19" s="493"/>
      <c r="F19" s="493"/>
      <c r="G19" s="492">
        <f>CEILING(2259*A3,1)</f>
        <v>4293</v>
      </c>
      <c r="H19" s="492"/>
      <c r="I19" s="492"/>
      <c r="J19" s="492"/>
      <c r="K19" s="139"/>
      <c r="L19" s="491" t="s">
        <v>373</v>
      </c>
      <c r="M19" s="491"/>
      <c r="N19" s="491"/>
      <c r="O19" s="491"/>
      <c r="P19" s="491"/>
      <c r="Q19" s="492">
        <f>CEILING(3118*A3,1)</f>
        <v>5925</v>
      </c>
      <c r="R19" s="492"/>
      <c r="S19" s="492"/>
      <c r="T19" s="492"/>
      <c r="U19" s="139"/>
      <c r="V19" s="491" t="s">
        <v>372</v>
      </c>
      <c r="W19" s="491"/>
      <c r="X19" s="491"/>
      <c r="Y19" s="491"/>
      <c r="Z19" s="491"/>
      <c r="AA19" s="492">
        <f>CEILING(3964*A3,1)</f>
        <v>7532</v>
      </c>
      <c r="AB19" s="492"/>
      <c r="AC19" s="492"/>
      <c r="AD19" s="492"/>
      <c r="AE19" s="126"/>
      <c r="AF19" s="491" t="s">
        <v>372</v>
      </c>
      <c r="AG19" s="491"/>
      <c r="AH19" s="491"/>
      <c r="AI19" s="491"/>
      <c r="AJ19" s="491"/>
      <c r="AK19" s="492">
        <f>CEILING(3554*A3,1)</f>
        <v>6753</v>
      </c>
      <c r="AL19" s="492"/>
      <c r="AM19" s="492"/>
      <c r="AN19" s="492"/>
      <c r="AO19" s="126"/>
      <c r="AP19" s="491" t="s">
        <v>373</v>
      </c>
      <c r="AQ19" s="491"/>
      <c r="AR19" s="491"/>
      <c r="AS19" s="491"/>
      <c r="AT19" s="491"/>
      <c r="AU19" s="492">
        <f>CEILING(3161*A3,1)</f>
        <v>6006</v>
      </c>
      <c r="AV19" s="492"/>
      <c r="AW19" s="492"/>
      <c r="AX19" s="492"/>
      <c r="AY19" s="137"/>
      <c r="AZ19" s="491" t="s">
        <v>373</v>
      </c>
      <c r="BA19" s="491"/>
      <c r="BB19" s="491"/>
      <c r="BC19" s="491"/>
      <c r="BD19" s="491"/>
      <c r="BE19" s="492">
        <f>CEILING(4187*A3,1)</f>
        <v>7956</v>
      </c>
      <c r="BF19" s="492"/>
      <c r="BG19" s="492"/>
      <c r="BH19" s="492"/>
      <c r="BI19" s="137"/>
      <c r="BJ19" s="506" t="s">
        <v>373</v>
      </c>
      <c r="BK19" s="507"/>
      <c r="BL19" s="507"/>
      <c r="BM19" s="491"/>
      <c r="BN19" s="508"/>
      <c r="BO19" s="492">
        <f>CEILING(3920*A3,1)</f>
        <v>7448</v>
      </c>
      <c r="BP19" s="509"/>
      <c r="BQ19" s="510"/>
      <c r="BR19" s="511"/>
    </row>
    <row r="20" spans="2:70" s="156" customFormat="1" ht="1.5" customHeight="1" x14ac:dyDescent="0.25">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66"/>
      <c r="Z20" s="166"/>
      <c r="AA20" s="166"/>
      <c r="AB20" s="166"/>
      <c r="AC20" s="166"/>
      <c r="AD20" s="166"/>
      <c r="AE20" s="157"/>
      <c r="AF20" s="157"/>
      <c r="AG20" s="157"/>
      <c r="AH20" s="157"/>
      <c r="AI20" s="157"/>
      <c r="AJ20" s="157"/>
      <c r="AK20" s="157"/>
      <c r="AL20" s="157"/>
      <c r="AM20" s="157"/>
      <c r="AN20" s="157"/>
      <c r="AO20" s="157"/>
      <c r="AP20" s="157"/>
      <c r="AQ20" s="166"/>
      <c r="AR20" s="166"/>
      <c r="AS20" s="166"/>
      <c r="AT20" s="166"/>
      <c r="AU20" s="166"/>
      <c r="AV20" s="166"/>
      <c r="AW20" s="166"/>
      <c r="AX20" s="166"/>
      <c r="AY20" s="157"/>
      <c r="AZ20" s="157"/>
      <c r="BA20" s="157"/>
      <c r="BB20" s="157"/>
      <c r="BC20" s="157"/>
      <c r="BD20" s="157"/>
      <c r="BE20" s="157"/>
      <c r="BF20" s="157"/>
      <c r="BG20" s="157"/>
      <c r="BH20" s="157"/>
      <c r="BI20" s="157"/>
      <c r="BJ20" s="157"/>
      <c r="BK20" s="157"/>
      <c r="BL20" s="157"/>
      <c r="BM20" s="157"/>
      <c r="BN20" s="157"/>
      <c r="BO20" s="157"/>
      <c r="BP20" s="157"/>
      <c r="BQ20" s="157"/>
      <c r="BR20" s="157"/>
    </row>
    <row r="21" spans="2:70" s="156" customFormat="1" ht="9" customHeight="1" x14ac:dyDescent="0.25">
      <c r="B21" s="512" t="s">
        <v>374</v>
      </c>
      <c r="C21" s="513"/>
      <c r="D21" s="514"/>
      <c r="E21" s="515" t="s">
        <v>165</v>
      </c>
      <c r="F21" s="516"/>
      <c r="G21" s="516"/>
      <c r="H21" s="516"/>
      <c r="I21" s="516"/>
      <c r="J21" s="517"/>
      <c r="K21" s="157"/>
      <c r="L21" s="482" t="s">
        <v>375</v>
      </c>
      <c r="M21" s="483"/>
      <c r="N21" s="484"/>
      <c r="O21" s="503" t="s">
        <v>165</v>
      </c>
      <c r="P21" s="504"/>
      <c r="Q21" s="504"/>
      <c r="R21" s="504"/>
      <c r="S21" s="504"/>
      <c r="T21" s="505"/>
      <c r="U21" s="157"/>
      <c r="V21" s="482" t="s">
        <v>376</v>
      </c>
      <c r="W21" s="483"/>
      <c r="X21" s="484"/>
      <c r="Y21" s="503" t="s">
        <v>165</v>
      </c>
      <c r="Z21" s="504"/>
      <c r="AA21" s="504"/>
      <c r="AB21" s="504"/>
      <c r="AC21" s="504"/>
      <c r="AD21" s="505"/>
      <c r="AE21" s="157"/>
      <c r="AF21" s="512" t="s">
        <v>377</v>
      </c>
      <c r="AG21" s="513"/>
      <c r="AH21" s="514"/>
      <c r="AI21" s="515" t="s">
        <v>165</v>
      </c>
      <c r="AJ21" s="516"/>
      <c r="AK21" s="516"/>
      <c r="AL21" s="516"/>
      <c r="AM21" s="516"/>
      <c r="AN21" s="517"/>
      <c r="AO21" s="157"/>
      <c r="AP21" s="482" t="s">
        <v>378</v>
      </c>
      <c r="AQ21" s="483"/>
      <c r="AR21" s="484"/>
      <c r="AS21" s="503" t="s">
        <v>165</v>
      </c>
      <c r="AT21" s="504"/>
      <c r="AU21" s="504"/>
      <c r="AV21" s="504"/>
      <c r="AW21" s="504"/>
      <c r="AX21" s="505"/>
      <c r="AY21" s="157"/>
      <c r="AZ21" s="482" t="s">
        <v>379</v>
      </c>
      <c r="BA21" s="483"/>
      <c r="BB21" s="484"/>
      <c r="BC21" s="503" t="s">
        <v>165</v>
      </c>
      <c r="BD21" s="504"/>
      <c r="BE21" s="504"/>
      <c r="BF21" s="504"/>
      <c r="BG21" s="504"/>
      <c r="BH21" s="505"/>
      <c r="BI21" s="157"/>
      <c r="BJ21" s="482" t="s">
        <v>380</v>
      </c>
      <c r="BK21" s="482"/>
      <c r="BL21" s="482"/>
      <c r="BM21" s="167" t="s">
        <v>165</v>
      </c>
      <c r="BN21" s="503"/>
      <c r="BO21" s="504"/>
      <c r="BP21" s="503"/>
      <c r="BQ21" s="503"/>
      <c r="BR21" s="503"/>
    </row>
    <row r="22" spans="2:70" s="160" customFormat="1" ht="9" customHeight="1" x14ac:dyDescent="0.25">
      <c r="B22" s="521" t="s">
        <v>381</v>
      </c>
      <c r="C22" s="489"/>
      <c r="D22" s="489"/>
      <c r="E22" s="489"/>
      <c r="F22" s="489"/>
      <c r="G22" s="489"/>
      <c r="H22" s="489"/>
      <c r="I22" s="489"/>
      <c r="J22" s="522"/>
      <c r="K22" s="162"/>
      <c r="L22" s="488" t="s">
        <v>382</v>
      </c>
      <c r="M22" s="489"/>
      <c r="N22" s="489"/>
      <c r="O22" s="489"/>
      <c r="P22" s="489"/>
      <c r="Q22" s="489"/>
      <c r="R22" s="489"/>
      <c r="S22" s="489"/>
      <c r="T22" s="490"/>
      <c r="U22" s="171"/>
      <c r="V22" s="489" t="s">
        <v>382</v>
      </c>
      <c r="W22" s="489"/>
      <c r="X22" s="489"/>
      <c r="Y22" s="489"/>
      <c r="Z22" s="489"/>
      <c r="AA22" s="489"/>
      <c r="AB22" s="489"/>
      <c r="AC22" s="489"/>
      <c r="AD22" s="490"/>
      <c r="AE22" s="162"/>
      <c r="AF22" s="521" t="s">
        <v>382</v>
      </c>
      <c r="AG22" s="489"/>
      <c r="AH22" s="489"/>
      <c r="AI22" s="489"/>
      <c r="AJ22" s="489"/>
      <c r="AK22" s="489"/>
      <c r="AL22" s="489"/>
      <c r="AM22" s="489"/>
      <c r="AN22" s="522"/>
      <c r="AO22" s="163"/>
      <c r="AP22" s="489" t="s">
        <v>382</v>
      </c>
      <c r="AQ22" s="489"/>
      <c r="AR22" s="489"/>
      <c r="AS22" s="489"/>
      <c r="AT22" s="489"/>
      <c r="AU22" s="489"/>
      <c r="AV22" s="489"/>
      <c r="AW22" s="489"/>
      <c r="AX22" s="490"/>
      <c r="AY22" s="162"/>
      <c r="AZ22" s="489" t="s">
        <v>382</v>
      </c>
      <c r="BA22" s="489"/>
      <c r="BB22" s="489"/>
      <c r="BC22" s="489"/>
      <c r="BD22" s="489"/>
      <c r="BE22" s="489"/>
      <c r="BF22" s="489"/>
      <c r="BG22" s="489"/>
      <c r="BH22" s="490"/>
      <c r="BI22" s="171"/>
      <c r="BJ22" s="488" t="s">
        <v>383</v>
      </c>
      <c r="BK22" s="489"/>
      <c r="BL22" s="489"/>
      <c r="BM22" s="489"/>
      <c r="BN22" s="489"/>
      <c r="BO22" s="489"/>
      <c r="BP22" s="489"/>
      <c r="BQ22" s="489"/>
      <c r="BR22" s="490"/>
    </row>
    <row r="23" spans="2:70" s="160" customFormat="1" ht="9" customHeight="1" x14ac:dyDescent="0.25">
      <c r="B23" s="521" t="s">
        <v>384</v>
      </c>
      <c r="C23" s="489"/>
      <c r="D23" s="489"/>
      <c r="E23" s="489"/>
      <c r="F23" s="489"/>
      <c r="G23" s="489"/>
      <c r="H23" s="489"/>
      <c r="I23" s="489"/>
      <c r="J23" s="522"/>
      <c r="K23" s="162"/>
      <c r="L23" s="488" t="s">
        <v>385</v>
      </c>
      <c r="M23" s="489"/>
      <c r="N23" s="489"/>
      <c r="O23" s="489"/>
      <c r="P23" s="489"/>
      <c r="Q23" s="489"/>
      <c r="R23" s="489"/>
      <c r="S23" s="489"/>
      <c r="T23" s="490"/>
      <c r="U23" s="171"/>
      <c r="V23" s="489" t="s">
        <v>386</v>
      </c>
      <c r="W23" s="489"/>
      <c r="X23" s="489"/>
      <c r="Y23" s="489"/>
      <c r="Z23" s="489"/>
      <c r="AA23" s="489"/>
      <c r="AB23" s="489"/>
      <c r="AC23" s="489"/>
      <c r="AD23" s="490"/>
      <c r="AE23" s="162"/>
      <c r="AF23" s="521" t="s">
        <v>387</v>
      </c>
      <c r="AG23" s="489"/>
      <c r="AH23" s="489"/>
      <c r="AI23" s="489"/>
      <c r="AJ23" s="489"/>
      <c r="AK23" s="489"/>
      <c r="AL23" s="489"/>
      <c r="AM23" s="489"/>
      <c r="AN23" s="522"/>
      <c r="AO23" s="163"/>
      <c r="AP23" s="489" t="s">
        <v>387</v>
      </c>
      <c r="AQ23" s="489"/>
      <c r="AR23" s="489"/>
      <c r="AS23" s="489"/>
      <c r="AT23" s="489"/>
      <c r="AU23" s="489"/>
      <c r="AV23" s="489"/>
      <c r="AW23" s="489"/>
      <c r="AX23" s="490"/>
      <c r="AY23" s="162"/>
      <c r="AZ23" s="489" t="s">
        <v>388</v>
      </c>
      <c r="BA23" s="489"/>
      <c r="BB23" s="489"/>
      <c r="BC23" s="489"/>
      <c r="BD23" s="489"/>
      <c r="BE23" s="489"/>
      <c r="BF23" s="489"/>
      <c r="BG23" s="489"/>
      <c r="BH23" s="490"/>
      <c r="BI23" s="171"/>
      <c r="BJ23" s="488" t="s">
        <v>389</v>
      </c>
      <c r="BK23" s="489"/>
      <c r="BL23" s="489"/>
      <c r="BM23" s="489"/>
      <c r="BN23" s="489"/>
      <c r="BO23" s="489"/>
      <c r="BP23" s="489"/>
      <c r="BQ23" s="489"/>
      <c r="BR23" s="490"/>
    </row>
    <row r="24" spans="2:70" s="160" customFormat="1" ht="9" customHeight="1" x14ac:dyDescent="0.25">
      <c r="B24" s="169"/>
      <c r="C24" s="162"/>
      <c r="D24" s="162"/>
      <c r="E24" s="162"/>
      <c r="F24" s="162"/>
      <c r="G24" s="162"/>
      <c r="H24" s="162"/>
      <c r="I24" s="162"/>
      <c r="J24" s="170"/>
      <c r="K24" s="162"/>
      <c r="L24" s="161"/>
      <c r="M24" s="162"/>
      <c r="N24" s="162"/>
      <c r="O24" s="162"/>
      <c r="P24" s="162"/>
      <c r="Q24" s="162"/>
      <c r="R24" s="162"/>
      <c r="S24" s="162"/>
      <c r="T24" s="163"/>
      <c r="U24" s="171"/>
      <c r="V24" s="162"/>
      <c r="W24" s="162"/>
      <c r="X24" s="162"/>
      <c r="Y24" s="162"/>
      <c r="Z24" s="162"/>
      <c r="AA24" s="162"/>
      <c r="AB24" s="162"/>
      <c r="AC24" s="162"/>
      <c r="AD24" s="163"/>
      <c r="AE24" s="162"/>
      <c r="AF24" s="169"/>
      <c r="AG24" s="162"/>
      <c r="AH24" s="162"/>
      <c r="AI24" s="162"/>
      <c r="AJ24" s="162"/>
      <c r="AK24" s="162"/>
      <c r="AL24" s="162"/>
      <c r="AM24" s="162"/>
      <c r="AN24" s="170"/>
      <c r="AO24" s="163"/>
      <c r="AP24" s="162"/>
      <c r="AQ24" s="162"/>
      <c r="AR24" s="162"/>
      <c r="AS24" s="162"/>
      <c r="AT24" s="162"/>
      <c r="AU24" s="162"/>
      <c r="AV24" s="162"/>
      <c r="AW24" s="162"/>
      <c r="AX24" s="163"/>
      <c r="AY24" s="162"/>
      <c r="AZ24" s="162"/>
      <c r="BA24" s="162"/>
      <c r="BB24" s="162"/>
      <c r="BC24" s="162"/>
      <c r="BD24" s="162"/>
      <c r="BE24" s="162"/>
      <c r="BF24" s="162"/>
      <c r="BG24" s="162"/>
      <c r="BH24" s="163"/>
      <c r="BI24" s="171"/>
      <c r="BJ24" s="162"/>
      <c r="BK24" s="162"/>
      <c r="BL24" s="162"/>
      <c r="BM24" s="162"/>
      <c r="BN24" s="162"/>
      <c r="BO24" s="162"/>
      <c r="BP24" s="162"/>
      <c r="BQ24" s="162"/>
      <c r="BR24" s="163"/>
    </row>
    <row r="25" spans="2:70" s="156" customFormat="1" ht="9" customHeight="1" x14ac:dyDescent="0.25">
      <c r="B25" s="172"/>
      <c r="C25" s="157"/>
      <c r="D25" s="157"/>
      <c r="E25" s="157"/>
      <c r="F25" s="157"/>
      <c r="G25" s="157"/>
      <c r="H25" s="157"/>
      <c r="I25" s="157"/>
      <c r="J25" s="173"/>
      <c r="K25" s="157"/>
      <c r="L25" s="158"/>
      <c r="M25" s="157"/>
      <c r="N25" s="157"/>
      <c r="O25" s="157"/>
      <c r="P25" s="157"/>
      <c r="Q25" s="157"/>
      <c r="R25" s="157"/>
      <c r="S25" s="157"/>
      <c r="T25" s="159"/>
      <c r="U25" s="165"/>
      <c r="V25" s="157"/>
      <c r="W25" s="157"/>
      <c r="X25" s="157"/>
      <c r="Y25" s="157"/>
      <c r="Z25" s="157"/>
      <c r="AA25" s="157"/>
      <c r="AB25" s="157"/>
      <c r="AC25" s="157"/>
      <c r="AD25" s="159"/>
      <c r="AE25" s="157"/>
      <c r="AF25" s="172"/>
      <c r="AG25" s="157"/>
      <c r="AH25" s="157"/>
      <c r="AI25" s="157"/>
      <c r="AJ25" s="157"/>
      <c r="AK25" s="157"/>
      <c r="AL25" s="157"/>
      <c r="AM25" s="157"/>
      <c r="AN25" s="173"/>
      <c r="AO25" s="159"/>
      <c r="AP25" s="157"/>
      <c r="AQ25" s="157"/>
      <c r="AR25" s="157"/>
      <c r="AS25" s="157"/>
      <c r="AT25" s="157"/>
      <c r="AU25" s="157"/>
      <c r="AV25" s="157"/>
      <c r="AW25" s="157"/>
      <c r="AX25" s="159"/>
      <c r="AY25" s="157"/>
      <c r="AZ25" s="157"/>
      <c r="BA25" s="157"/>
      <c r="BB25" s="157"/>
      <c r="BC25" s="157"/>
      <c r="BD25" s="157"/>
      <c r="BE25" s="157"/>
      <c r="BF25" s="157"/>
      <c r="BG25" s="157"/>
      <c r="BH25" s="159"/>
      <c r="BI25" s="165"/>
      <c r="BJ25" s="157"/>
      <c r="BK25" s="157"/>
      <c r="BL25" s="157"/>
      <c r="BM25" s="157"/>
      <c r="BN25" s="157"/>
      <c r="BO25" s="157"/>
      <c r="BP25" s="157"/>
      <c r="BQ25" s="157"/>
      <c r="BR25" s="159"/>
    </row>
    <row r="26" spans="2:70" s="156" customFormat="1" ht="9" customHeight="1" x14ac:dyDescent="0.25">
      <c r="B26" s="172"/>
      <c r="C26" s="157"/>
      <c r="D26" s="157"/>
      <c r="E26" s="157"/>
      <c r="F26" s="157"/>
      <c r="G26" s="157"/>
      <c r="H26" s="157"/>
      <c r="I26" s="157"/>
      <c r="J26" s="173"/>
      <c r="K26" s="157"/>
      <c r="L26" s="158"/>
      <c r="M26" s="157"/>
      <c r="N26" s="157"/>
      <c r="O26" s="157"/>
      <c r="P26" s="157"/>
      <c r="Q26" s="157"/>
      <c r="R26" s="157"/>
      <c r="S26" s="157"/>
      <c r="T26" s="159"/>
      <c r="U26" s="165"/>
      <c r="V26" s="157"/>
      <c r="W26" s="157"/>
      <c r="X26" s="157"/>
      <c r="Y26" s="157"/>
      <c r="Z26" s="157"/>
      <c r="AA26" s="157"/>
      <c r="AB26" s="157"/>
      <c r="AC26" s="157"/>
      <c r="AD26" s="159"/>
      <c r="AE26" s="157"/>
      <c r="AF26" s="172"/>
      <c r="AG26" s="157"/>
      <c r="AH26" s="157"/>
      <c r="AI26" s="157"/>
      <c r="AJ26" s="157"/>
      <c r="AK26" s="157"/>
      <c r="AL26" s="157"/>
      <c r="AM26" s="157"/>
      <c r="AN26" s="173"/>
      <c r="AO26" s="159"/>
      <c r="AP26" s="157"/>
      <c r="AQ26" s="157"/>
      <c r="AR26" s="157"/>
      <c r="AS26" s="157"/>
      <c r="AT26" s="157"/>
      <c r="AU26" s="157"/>
      <c r="AV26" s="157"/>
      <c r="AW26" s="157"/>
      <c r="AX26" s="159"/>
      <c r="AY26" s="157"/>
      <c r="AZ26" s="157"/>
      <c r="BA26" s="157"/>
      <c r="BB26" s="157"/>
      <c r="BC26" s="157"/>
      <c r="BD26" s="157"/>
      <c r="BE26" s="157"/>
      <c r="BF26" s="157"/>
      <c r="BG26" s="157"/>
      <c r="BH26" s="159"/>
      <c r="BI26" s="165"/>
      <c r="BJ26" s="157"/>
      <c r="BK26" s="157"/>
      <c r="BL26" s="157"/>
      <c r="BM26" s="157"/>
      <c r="BN26" s="157"/>
      <c r="BO26" s="157"/>
      <c r="BP26" s="157"/>
      <c r="BQ26" s="157"/>
      <c r="BR26" s="159"/>
    </row>
    <row r="27" spans="2:70" s="156" customFormat="1" ht="9.75" customHeight="1" x14ac:dyDescent="0.25">
      <c r="B27" s="172"/>
      <c r="C27" s="157"/>
      <c r="D27" s="157"/>
      <c r="E27" s="157"/>
      <c r="F27" s="157"/>
      <c r="G27" s="157"/>
      <c r="H27" s="157"/>
      <c r="I27" s="157"/>
      <c r="J27" s="173"/>
      <c r="K27" s="157"/>
      <c r="L27" s="158"/>
      <c r="M27" s="157"/>
      <c r="N27" s="157"/>
      <c r="O27" s="157"/>
      <c r="P27" s="157"/>
      <c r="Q27" s="157"/>
      <c r="R27" s="157"/>
      <c r="S27" s="157"/>
      <c r="T27" s="159"/>
      <c r="U27" s="165"/>
      <c r="V27" s="157"/>
      <c r="W27" s="157"/>
      <c r="X27" s="157"/>
      <c r="Y27" s="157"/>
      <c r="Z27" s="157"/>
      <c r="AA27" s="157"/>
      <c r="AB27" s="157"/>
      <c r="AC27" s="157"/>
      <c r="AD27" s="159"/>
      <c r="AE27" s="157"/>
      <c r="AF27" s="172"/>
      <c r="AG27" s="157"/>
      <c r="AH27" s="157"/>
      <c r="AI27" s="157"/>
      <c r="AJ27" s="157"/>
      <c r="AK27" s="157"/>
      <c r="AL27" s="157"/>
      <c r="AM27" s="157"/>
      <c r="AN27" s="173"/>
      <c r="AO27" s="159"/>
      <c r="AP27" s="157"/>
      <c r="AQ27" s="157"/>
      <c r="AR27" s="157"/>
      <c r="AS27" s="157"/>
      <c r="AT27" s="157"/>
      <c r="AU27" s="157"/>
      <c r="AV27" s="157"/>
      <c r="AW27" s="157"/>
      <c r="AX27" s="159"/>
      <c r="AY27" s="157"/>
      <c r="AZ27" s="157"/>
      <c r="BA27" s="157"/>
      <c r="BB27" s="157"/>
      <c r="BC27" s="157"/>
      <c r="BD27" s="157"/>
      <c r="BE27" s="157"/>
      <c r="BF27" s="157"/>
      <c r="BG27" s="157"/>
      <c r="BH27" s="159"/>
      <c r="BI27" s="165"/>
      <c r="BJ27" s="157"/>
      <c r="BK27" s="157"/>
      <c r="BL27" s="157"/>
      <c r="BM27" s="157"/>
      <c r="BN27" s="157"/>
      <c r="BO27" s="157"/>
      <c r="BP27" s="157"/>
      <c r="BQ27" s="157"/>
      <c r="BR27" s="159"/>
    </row>
    <row r="28" spans="2:70" s="156" customFormat="1" ht="9.75" customHeight="1" x14ac:dyDescent="0.25">
      <c r="B28" s="172"/>
      <c r="C28" s="157"/>
      <c r="D28" s="157"/>
      <c r="E28" s="157"/>
      <c r="F28" s="157"/>
      <c r="G28" s="157"/>
      <c r="H28" s="157"/>
      <c r="I28" s="157"/>
      <c r="J28" s="173"/>
      <c r="K28" s="157"/>
      <c r="L28" s="158"/>
      <c r="M28" s="157"/>
      <c r="N28" s="157"/>
      <c r="O28" s="157"/>
      <c r="P28" s="157"/>
      <c r="Q28" s="157"/>
      <c r="R28" s="157"/>
      <c r="S28" s="157"/>
      <c r="T28" s="159"/>
      <c r="U28" s="165"/>
      <c r="V28" s="157"/>
      <c r="W28" s="157"/>
      <c r="X28" s="157"/>
      <c r="Y28" s="157"/>
      <c r="Z28" s="157"/>
      <c r="AA28" s="157"/>
      <c r="AB28" s="157"/>
      <c r="AC28" s="157"/>
      <c r="AD28" s="159"/>
      <c r="AE28" s="157"/>
      <c r="AF28" s="172"/>
      <c r="AG28" s="157"/>
      <c r="AH28" s="157"/>
      <c r="AI28" s="157"/>
      <c r="AJ28" s="157"/>
      <c r="AK28" s="157"/>
      <c r="AL28" s="157"/>
      <c r="AM28" s="157"/>
      <c r="AN28" s="173"/>
      <c r="AO28" s="159"/>
      <c r="AP28" s="157"/>
      <c r="AQ28" s="157"/>
      <c r="AR28" s="157"/>
      <c r="AS28" s="157"/>
      <c r="AT28" s="157"/>
      <c r="AU28" s="157"/>
      <c r="AV28" s="157"/>
      <c r="AW28" s="157"/>
      <c r="AX28" s="159"/>
      <c r="AY28" s="157"/>
      <c r="AZ28" s="157"/>
      <c r="BA28" s="157"/>
      <c r="BB28" s="157"/>
      <c r="BC28" s="157"/>
      <c r="BD28" s="157"/>
      <c r="BE28" s="157"/>
      <c r="BF28" s="157"/>
      <c r="BG28" s="157"/>
      <c r="BH28" s="159"/>
      <c r="BI28" s="165"/>
      <c r="BJ28" s="157"/>
      <c r="BK28" s="157"/>
      <c r="BL28" s="157"/>
      <c r="BM28" s="157"/>
      <c r="BN28" s="157"/>
      <c r="BO28" s="157"/>
      <c r="BP28" s="157"/>
      <c r="BQ28" s="157"/>
      <c r="BR28" s="159"/>
    </row>
    <row r="29" spans="2:70" s="156" customFormat="1" ht="9.75" customHeight="1" x14ac:dyDescent="0.25">
      <c r="B29" s="172"/>
      <c r="C29" s="157"/>
      <c r="D29" s="157"/>
      <c r="E29" s="157"/>
      <c r="F29" s="157"/>
      <c r="G29" s="157"/>
      <c r="H29" s="157"/>
      <c r="I29" s="157"/>
      <c r="J29" s="173"/>
      <c r="K29" s="157"/>
      <c r="L29" s="158"/>
      <c r="M29" s="157"/>
      <c r="N29" s="157"/>
      <c r="O29" s="157"/>
      <c r="P29" s="157"/>
      <c r="Q29" s="157"/>
      <c r="R29" s="157"/>
      <c r="S29" s="157"/>
      <c r="T29" s="159"/>
      <c r="U29" s="165"/>
      <c r="V29" s="157"/>
      <c r="W29" s="157"/>
      <c r="X29" s="157"/>
      <c r="Y29" s="157"/>
      <c r="Z29" s="157"/>
      <c r="AA29" s="157"/>
      <c r="AB29" s="157"/>
      <c r="AC29" s="157"/>
      <c r="AD29" s="159"/>
      <c r="AE29" s="157"/>
      <c r="AF29" s="172"/>
      <c r="AG29" s="157"/>
      <c r="AH29" s="157"/>
      <c r="AI29" s="157"/>
      <c r="AJ29" s="157"/>
      <c r="AK29" s="157"/>
      <c r="AL29" s="157"/>
      <c r="AM29" s="157"/>
      <c r="AN29" s="173"/>
      <c r="AO29" s="159"/>
      <c r="AP29" s="157"/>
      <c r="AQ29" s="157"/>
      <c r="AR29" s="157"/>
      <c r="AS29" s="157"/>
      <c r="AT29" s="157"/>
      <c r="AU29" s="157"/>
      <c r="AV29" s="157"/>
      <c r="AW29" s="157"/>
      <c r="AX29" s="159"/>
      <c r="AY29" s="157"/>
      <c r="AZ29" s="157"/>
      <c r="BA29" s="157"/>
      <c r="BB29" s="157"/>
      <c r="BC29" s="157"/>
      <c r="BD29" s="157"/>
      <c r="BE29" s="157"/>
      <c r="BF29" s="157"/>
      <c r="BG29" s="157"/>
      <c r="BH29" s="159"/>
      <c r="BI29" s="165"/>
      <c r="BJ29" s="157"/>
      <c r="BK29" s="157"/>
      <c r="BL29" s="157"/>
      <c r="BM29" s="157"/>
      <c r="BN29" s="157"/>
      <c r="BO29" s="157"/>
      <c r="BP29" s="157"/>
      <c r="BQ29" s="157"/>
      <c r="BR29" s="159"/>
    </row>
    <row r="30" spans="2:70" s="174" customFormat="1" ht="9" customHeight="1" x14ac:dyDescent="0.25">
      <c r="B30" s="172"/>
      <c r="C30" s="157"/>
      <c r="D30" s="157"/>
      <c r="E30" s="157"/>
      <c r="F30" s="157"/>
      <c r="G30" s="157"/>
      <c r="H30" s="157"/>
      <c r="I30" s="157"/>
      <c r="J30" s="173"/>
      <c r="K30" s="150"/>
      <c r="L30" s="175"/>
      <c r="M30" s="150"/>
      <c r="N30" s="150"/>
      <c r="O30" s="150"/>
      <c r="P30" s="150"/>
      <c r="Q30" s="150"/>
      <c r="R30" s="150"/>
      <c r="S30" s="150"/>
      <c r="T30" s="151"/>
      <c r="U30" s="176"/>
      <c r="V30" s="150"/>
      <c r="W30" s="150"/>
      <c r="X30" s="150"/>
      <c r="Y30" s="150"/>
      <c r="Z30" s="150"/>
      <c r="AA30" s="150"/>
      <c r="AB30" s="150"/>
      <c r="AC30" s="150"/>
      <c r="AD30" s="151"/>
      <c r="AE30" s="150"/>
      <c r="AF30" s="177"/>
      <c r="AG30" s="150"/>
      <c r="AH30" s="150"/>
      <c r="AI30" s="150"/>
      <c r="AJ30" s="150"/>
      <c r="AK30" s="150"/>
      <c r="AL30" s="150"/>
      <c r="AM30" s="150"/>
      <c r="AN30" s="178"/>
      <c r="AO30" s="151"/>
      <c r="AP30" s="150"/>
      <c r="AQ30" s="150"/>
      <c r="AR30" s="150"/>
      <c r="AS30" s="150"/>
      <c r="AT30" s="150"/>
      <c r="AU30" s="150"/>
      <c r="AV30" s="150"/>
      <c r="AW30" s="150"/>
      <c r="AX30" s="151"/>
      <c r="AY30" s="150"/>
      <c r="AZ30" s="150"/>
      <c r="BA30" s="150"/>
      <c r="BB30" s="150"/>
      <c r="BC30" s="150"/>
      <c r="BD30" s="150"/>
      <c r="BE30" s="150"/>
      <c r="BF30" s="150"/>
      <c r="BG30" s="150"/>
      <c r="BH30" s="151"/>
      <c r="BI30" s="176"/>
      <c r="BJ30" s="157"/>
      <c r="BK30" s="157"/>
      <c r="BL30" s="157"/>
      <c r="BM30" s="157"/>
      <c r="BN30" s="157"/>
      <c r="BO30" s="157"/>
      <c r="BP30" s="157"/>
      <c r="BQ30" s="157"/>
      <c r="BR30" s="159"/>
    </row>
    <row r="31" spans="2:70" s="174" customFormat="1" ht="9" customHeight="1" x14ac:dyDescent="0.25">
      <c r="B31" s="172"/>
      <c r="C31" s="157"/>
      <c r="D31" s="157"/>
      <c r="E31" s="157"/>
      <c r="F31" s="157"/>
      <c r="G31" s="157"/>
      <c r="H31" s="157"/>
      <c r="I31" s="157"/>
      <c r="J31" s="173"/>
      <c r="K31" s="150"/>
      <c r="L31" s="175"/>
      <c r="M31" s="150"/>
      <c r="N31" s="150"/>
      <c r="O31" s="150"/>
      <c r="P31" s="150"/>
      <c r="Q31" s="150"/>
      <c r="R31" s="150"/>
      <c r="S31" s="150"/>
      <c r="T31" s="151"/>
      <c r="U31" s="176"/>
      <c r="V31" s="150"/>
      <c r="W31" s="150"/>
      <c r="X31" s="150"/>
      <c r="Y31" s="150"/>
      <c r="Z31" s="150"/>
      <c r="AA31" s="150"/>
      <c r="AB31" s="150"/>
      <c r="AC31" s="150"/>
      <c r="AD31" s="151"/>
      <c r="AE31" s="150"/>
      <c r="AF31" s="177"/>
      <c r="AG31" s="150"/>
      <c r="AH31" s="150"/>
      <c r="AI31" s="150"/>
      <c r="AJ31" s="150"/>
      <c r="AK31" s="150"/>
      <c r="AL31" s="150"/>
      <c r="AM31" s="150"/>
      <c r="AN31" s="178"/>
      <c r="AO31" s="151"/>
      <c r="AP31" s="150"/>
      <c r="AQ31" s="150"/>
      <c r="AR31" s="150"/>
      <c r="AS31" s="150"/>
      <c r="AT31" s="150"/>
      <c r="AU31" s="150"/>
      <c r="AV31" s="150"/>
      <c r="AW31" s="150"/>
      <c r="AX31" s="151"/>
      <c r="AY31" s="150"/>
      <c r="AZ31" s="150"/>
      <c r="BA31" s="150"/>
      <c r="BB31" s="150"/>
      <c r="BC31" s="150"/>
      <c r="BD31" s="150"/>
      <c r="BE31" s="150"/>
      <c r="BF31" s="150"/>
      <c r="BG31" s="150"/>
      <c r="BH31" s="151"/>
      <c r="BI31" s="176"/>
      <c r="BJ31" s="157"/>
      <c r="BK31" s="157"/>
      <c r="BL31" s="157"/>
      <c r="BM31" s="157"/>
      <c r="BN31" s="157"/>
      <c r="BO31" s="157"/>
      <c r="BP31" s="157"/>
      <c r="BQ31" s="157"/>
      <c r="BR31" s="159"/>
    </row>
    <row r="32" spans="2:70" s="174" customFormat="1" ht="9" customHeight="1" x14ac:dyDescent="0.25">
      <c r="B32" s="491" t="s">
        <v>371</v>
      </c>
      <c r="C32" s="491"/>
      <c r="D32" s="491"/>
      <c r="E32" s="491"/>
      <c r="F32" s="491"/>
      <c r="G32" s="492">
        <f>CEILING(3792*A3,1)</f>
        <v>7205</v>
      </c>
      <c r="H32" s="492"/>
      <c r="I32" s="492"/>
      <c r="J32" s="492"/>
      <c r="K32" s="140"/>
      <c r="L32" s="141"/>
      <c r="M32" s="140"/>
      <c r="N32" s="140"/>
      <c r="O32" s="140"/>
      <c r="P32" s="140"/>
      <c r="Q32" s="518"/>
      <c r="R32" s="518"/>
      <c r="S32" s="518"/>
      <c r="T32" s="519"/>
      <c r="U32" s="142"/>
      <c r="V32" s="140"/>
      <c r="W32" s="140"/>
      <c r="X32" s="140"/>
      <c r="Y32" s="140"/>
      <c r="Z32" s="140"/>
      <c r="AA32" s="140"/>
      <c r="AB32" s="140"/>
      <c r="AC32" s="140"/>
      <c r="AD32" s="143"/>
      <c r="AE32" s="140"/>
      <c r="AF32" s="144"/>
      <c r="AG32" s="140"/>
      <c r="AH32" s="140"/>
      <c r="AI32" s="140"/>
      <c r="AJ32" s="140"/>
      <c r="AK32" s="518"/>
      <c r="AL32" s="518"/>
      <c r="AM32" s="518"/>
      <c r="AN32" s="520"/>
      <c r="AO32" s="143"/>
      <c r="AP32" s="140"/>
      <c r="AQ32" s="140"/>
      <c r="AR32" s="140"/>
      <c r="AS32" s="140"/>
      <c r="AT32" s="140"/>
      <c r="AU32" s="140"/>
      <c r="AV32" s="140"/>
      <c r="AW32" s="140"/>
      <c r="AX32" s="143"/>
      <c r="AY32" s="140"/>
      <c r="AZ32" s="140"/>
      <c r="BA32" s="140"/>
      <c r="BB32" s="140"/>
      <c r="BC32" s="140"/>
      <c r="BD32" s="140"/>
      <c r="BE32" s="140"/>
      <c r="BF32" s="140"/>
      <c r="BG32" s="140"/>
      <c r="BH32" s="143"/>
      <c r="BI32" s="140"/>
      <c r="BJ32" s="506" t="s">
        <v>371</v>
      </c>
      <c r="BK32" s="506"/>
      <c r="BL32" s="506"/>
      <c r="BM32" s="491"/>
      <c r="BN32" s="506"/>
      <c r="BO32" s="126">
        <f>CEILING(3780*A3,1)</f>
        <v>7182</v>
      </c>
      <c r="BP32" s="509"/>
      <c r="BQ32" s="510"/>
      <c r="BR32" s="511"/>
    </row>
    <row r="33" spans="2:70" s="174" customFormat="1" ht="9" customHeight="1" x14ac:dyDescent="0.25">
      <c r="B33" s="491" t="s">
        <v>372</v>
      </c>
      <c r="C33" s="491"/>
      <c r="D33" s="491"/>
      <c r="E33" s="491"/>
      <c r="F33" s="491"/>
      <c r="G33" s="492">
        <f>CEILING(4061*A3,1)</f>
        <v>7716</v>
      </c>
      <c r="H33" s="492"/>
      <c r="I33" s="492"/>
      <c r="J33" s="492"/>
      <c r="K33" s="145"/>
      <c r="L33" s="491" t="s">
        <v>390</v>
      </c>
      <c r="M33" s="491"/>
      <c r="N33" s="491"/>
      <c r="O33" s="491"/>
      <c r="P33" s="491"/>
      <c r="Q33" s="492">
        <f>CEILING(5780*A3,1)</f>
        <v>10982</v>
      </c>
      <c r="R33" s="492"/>
      <c r="S33" s="492"/>
      <c r="T33" s="492"/>
      <c r="U33" s="145"/>
      <c r="V33" s="491" t="s">
        <v>390</v>
      </c>
      <c r="W33" s="491"/>
      <c r="X33" s="491"/>
      <c r="Y33" s="491"/>
      <c r="Z33" s="491"/>
      <c r="AA33" s="492">
        <f>CEILING(5257*A3,1)</f>
        <v>9989</v>
      </c>
      <c r="AB33" s="492"/>
      <c r="AC33" s="492"/>
      <c r="AD33" s="492"/>
      <c r="AE33" s="145"/>
      <c r="AF33" s="491" t="s">
        <v>390</v>
      </c>
      <c r="AG33" s="491"/>
      <c r="AH33" s="491"/>
      <c r="AI33" s="491"/>
      <c r="AJ33" s="491"/>
      <c r="AK33" s="492">
        <f>CEILING(5004*A3,1)</f>
        <v>9508</v>
      </c>
      <c r="AL33" s="492"/>
      <c r="AM33" s="492"/>
      <c r="AN33" s="492"/>
      <c r="AO33" s="145"/>
      <c r="AP33" s="491" t="s">
        <v>390</v>
      </c>
      <c r="AQ33" s="491"/>
      <c r="AR33" s="491"/>
      <c r="AS33" s="491"/>
      <c r="AT33" s="491"/>
      <c r="AU33" s="492">
        <f>CEILING(5739*A3,1)</f>
        <v>10905</v>
      </c>
      <c r="AV33" s="492"/>
      <c r="AW33" s="492"/>
      <c r="AX33" s="492"/>
      <c r="AY33" s="145"/>
      <c r="AZ33" s="491" t="s">
        <v>390</v>
      </c>
      <c r="BA33" s="491"/>
      <c r="BB33" s="491"/>
      <c r="BC33" s="491"/>
      <c r="BD33" s="491"/>
      <c r="BE33" s="492">
        <f>CEILING(5300*A3,1)</f>
        <v>10070</v>
      </c>
      <c r="BF33" s="492"/>
      <c r="BG33" s="492"/>
      <c r="BH33" s="492"/>
      <c r="BI33" s="145"/>
      <c r="BJ33" s="506" t="s">
        <v>372</v>
      </c>
      <c r="BK33" s="507"/>
      <c r="BL33" s="507"/>
      <c r="BM33" s="491"/>
      <c r="BN33" s="508"/>
      <c r="BO33" s="492">
        <f>CEILING(4031*A3,1)</f>
        <v>7659</v>
      </c>
      <c r="BP33" s="509"/>
      <c r="BQ33" s="510"/>
      <c r="BR33" s="511"/>
    </row>
    <row r="34" spans="2:70" s="174" customFormat="1" ht="9" customHeight="1" x14ac:dyDescent="0.25">
      <c r="B34" s="491" t="s">
        <v>373</v>
      </c>
      <c r="C34" s="491"/>
      <c r="D34" s="491"/>
      <c r="E34" s="491"/>
      <c r="F34" s="491"/>
      <c r="G34" s="492">
        <f>CEILING(4330*A3,1)</f>
        <v>8227</v>
      </c>
      <c r="H34" s="492"/>
      <c r="I34" s="492"/>
      <c r="J34" s="492"/>
      <c r="K34" s="145"/>
      <c r="L34" s="491" t="s">
        <v>391</v>
      </c>
      <c r="M34" s="491"/>
      <c r="N34" s="491"/>
      <c r="O34" s="491"/>
      <c r="P34" s="491"/>
      <c r="Q34" s="492">
        <f>CEILING(6061*A3,1)</f>
        <v>11516</v>
      </c>
      <c r="R34" s="492"/>
      <c r="S34" s="492"/>
      <c r="T34" s="492"/>
      <c r="U34" s="145"/>
      <c r="V34" s="491" t="s">
        <v>391</v>
      </c>
      <c r="W34" s="491"/>
      <c r="X34" s="491"/>
      <c r="Y34" s="491"/>
      <c r="Z34" s="491"/>
      <c r="AA34" s="492">
        <f>CEILING(5334*A3,1)</f>
        <v>10135</v>
      </c>
      <c r="AB34" s="492"/>
      <c r="AC34" s="492"/>
      <c r="AD34" s="492"/>
      <c r="AE34" s="145"/>
      <c r="AF34" s="491" t="s">
        <v>391</v>
      </c>
      <c r="AG34" s="491"/>
      <c r="AH34" s="491"/>
      <c r="AI34" s="491"/>
      <c r="AJ34" s="491"/>
      <c r="AK34" s="492">
        <f>CEILING(5243*A3,1)</f>
        <v>9962</v>
      </c>
      <c r="AL34" s="492"/>
      <c r="AM34" s="492"/>
      <c r="AN34" s="492"/>
      <c r="AO34" s="145"/>
      <c r="AP34" s="491" t="s">
        <v>391</v>
      </c>
      <c r="AQ34" s="491"/>
      <c r="AR34" s="491"/>
      <c r="AS34" s="491"/>
      <c r="AT34" s="491"/>
      <c r="AU34" s="492">
        <f>CEILING(5976*A3,1)</f>
        <v>11355</v>
      </c>
      <c r="AV34" s="492"/>
      <c r="AW34" s="492"/>
      <c r="AX34" s="492"/>
      <c r="AY34" s="145"/>
      <c r="AZ34" s="491" t="s">
        <v>391</v>
      </c>
      <c r="BA34" s="491"/>
      <c r="BB34" s="491"/>
      <c r="BC34" s="491"/>
      <c r="BD34" s="491"/>
      <c r="BE34" s="492">
        <f>CEILING(5496*A3,1)</f>
        <v>10443</v>
      </c>
      <c r="BF34" s="492"/>
      <c r="BG34" s="492"/>
      <c r="BH34" s="492"/>
      <c r="BI34" s="145"/>
      <c r="BJ34" s="506" t="s">
        <v>373</v>
      </c>
      <c r="BK34" s="506"/>
      <c r="BL34" s="506"/>
      <c r="BM34" s="491"/>
      <c r="BN34" s="506"/>
      <c r="BO34" s="126">
        <f>CEILING(4272*A3,1)</f>
        <v>8117</v>
      </c>
      <c r="BP34" s="509"/>
      <c r="BQ34" s="510"/>
      <c r="BR34" s="511"/>
    </row>
    <row r="35" spans="2:70" s="156" customFormat="1" ht="1.5" customHeight="1" x14ac:dyDescent="0.25">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79"/>
    </row>
    <row r="36" spans="2:70" s="174" customFormat="1" ht="9" customHeight="1" x14ac:dyDescent="0.25">
      <c r="B36" s="482" t="s">
        <v>392</v>
      </c>
      <c r="C36" s="483"/>
      <c r="D36" s="484"/>
      <c r="E36" s="503" t="s">
        <v>165</v>
      </c>
      <c r="F36" s="504"/>
      <c r="G36" s="504"/>
      <c r="H36" s="504"/>
      <c r="I36" s="504"/>
      <c r="J36" s="505"/>
      <c r="K36" s="150"/>
      <c r="L36" s="482" t="s">
        <v>393</v>
      </c>
      <c r="M36" s="483"/>
      <c r="N36" s="484"/>
      <c r="O36" s="503" t="s">
        <v>165</v>
      </c>
      <c r="P36" s="504"/>
      <c r="Q36" s="504"/>
      <c r="R36" s="504"/>
      <c r="S36" s="504"/>
      <c r="T36" s="505"/>
      <c r="U36" s="150"/>
      <c r="V36" s="482" t="s">
        <v>394</v>
      </c>
      <c r="W36" s="483"/>
      <c r="X36" s="484"/>
      <c r="Y36" s="503" t="s">
        <v>165</v>
      </c>
      <c r="Z36" s="504"/>
      <c r="AA36" s="504"/>
      <c r="AB36" s="504"/>
      <c r="AC36" s="504"/>
      <c r="AD36" s="505"/>
      <c r="AE36" s="150"/>
      <c r="AF36" s="482" t="s">
        <v>395</v>
      </c>
      <c r="AG36" s="483"/>
      <c r="AH36" s="484"/>
      <c r="AI36" s="503" t="s">
        <v>165</v>
      </c>
      <c r="AJ36" s="504"/>
      <c r="AK36" s="504"/>
      <c r="AL36" s="504"/>
      <c r="AM36" s="504"/>
      <c r="AN36" s="505"/>
      <c r="AO36" s="150"/>
      <c r="AP36" s="512" t="s">
        <v>396</v>
      </c>
      <c r="AQ36" s="513"/>
      <c r="AR36" s="514"/>
      <c r="AS36" s="515" t="s">
        <v>165</v>
      </c>
      <c r="AT36" s="516"/>
      <c r="AU36" s="516"/>
      <c r="AV36" s="516"/>
      <c r="AW36" s="516"/>
      <c r="AX36" s="517"/>
      <c r="AY36" s="151"/>
      <c r="AZ36" s="482" t="s">
        <v>397</v>
      </c>
      <c r="BA36" s="483"/>
      <c r="BB36" s="484"/>
      <c r="BC36" s="503" t="s">
        <v>165</v>
      </c>
      <c r="BD36" s="504"/>
      <c r="BE36" s="504"/>
      <c r="BF36" s="504"/>
      <c r="BG36" s="504"/>
      <c r="BH36" s="505"/>
      <c r="BI36" s="150"/>
      <c r="BJ36" s="482" t="s">
        <v>398</v>
      </c>
      <c r="BK36" s="483"/>
      <c r="BL36" s="484"/>
      <c r="BM36" s="503" t="s">
        <v>165</v>
      </c>
      <c r="BN36" s="503"/>
      <c r="BO36" s="504"/>
      <c r="BP36" s="504"/>
      <c r="BQ36" s="504"/>
      <c r="BR36" s="505"/>
    </row>
    <row r="37" spans="2:70" s="160" customFormat="1" ht="9" customHeight="1" x14ac:dyDescent="0.25">
      <c r="B37" s="488" t="s">
        <v>383</v>
      </c>
      <c r="C37" s="489"/>
      <c r="D37" s="489"/>
      <c r="E37" s="489"/>
      <c r="F37" s="489"/>
      <c r="G37" s="489"/>
      <c r="H37" s="489"/>
      <c r="I37" s="489"/>
      <c r="J37" s="490"/>
      <c r="K37" s="162"/>
      <c r="L37" s="488" t="s">
        <v>383</v>
      </c>
      <c r="M37" s="489"/>
      <c r="N37" s="489"/>
      <c r="O37" s="489"/>
      <c r="P37" s="489"/>
      <c r="Q37" s="489"/>
      <c r="R37" s="489"/>
      <c r="S37" s="489"/>
      <c r="T37" s="490"/>
      <c r="U37" s="162"/>
      <c r="V37" s="488" t="s">
        <v>383</v>
      </c>
      <c r="W37" s="489"/>
      <c r="X37" s="489"/>
      <c r="Y37" s="489"/>
      <c r="Z37" s="489"/>
      <c r="AA37" s="489"/>
      <c r="AB37" s="489"/>
      <c r="AC37" s="489"/>
      <c r="AD37" s="490"/>
      <c r="AE37" s="162"/>
      <c r="AF37" s="488" t="s">
        <v>383</v>
      </c>
      <c r="AG37" s="489"/>
      <c r="AH37" s="489"/>
      <c r="AI37" s="489"/>
      <c r="AJ37" s="489"/>
      <c r="AK37" s="489"/>
      <c r="AL37" s="489"/>
      <c r="AM37" s="489"/>
      <c r="AN37" s="490"/>
      <c r="AO37" s="162"/>
      <c r="AP37" s="521" t="s">
        <v>383</v>
      </c>
      <c r="AQ37" s="489"/>
      <c r="AR37" s="489"/>
      <c r="AS37" s="489"/>
      <c r="AT37" s="489"/>
      <c r="AU37" s="489"/>
      <c r="AV37" s="489"/>
      <c r="AW37" s="489"/>
      <c r="AX37" s="522"/>
      <c r="AY37" s="163"/>
      <c r="AZ37" s="488" t="s">
        <v>383</v>
      </c>
      <c r="BA37" s="489"/>
      <c r="BB37" s="489"/>
      <c r="BC37" s="489"/>
      <c r="BD37" s="489"/>
      <c r="BE37" s="489"/>
      <c r="BF37" s="489"/>
      <c r="BG37" s="489"/>
      <c r="BH37" s="490"/>
      <c r="BI37" s="162"/>
      <c r="BJ37" s="488" t="s">
        <v>399</v>
      </c>
      <c r="BK37" s="489"/>
      <c r="BL37" s="489"/>
      <c r="BM37" s="489"/>
      <c r="BN37" s="489"/>
      <c r="BO37" s="489"/>
      <c r="BP37" s="489"/>
      <c r="BQ37" s="489"/>
      <c r="BR37" s="490"/>
    </row>
    <row r="38" spans="2:70" s="160" customFormat="1" ht="9" customHeight="1" x14ac:dyDescent="0.25">
      <c r="B38" s="488" t="s">
        <v>400</v>
      </c>
      <c r="C38" s="489"/>
      <c r="D38" s="489"/>
      <c r="E38" s="489"/>
      <c r="F38" s="489"/>
      <c r="G38" s="489"/>
      <c r="H38" s="489"/>
      <c r="I38" s="489"/>
      <c r="J38" s="490"/>
      <c r="K38" s="162"/>
      <c r="L38" s="488" t="s">
        <v>401</v>
      </c>
      <c r="M38" s="489"/>
      <c r="N38" s="489"/>
      <c r="O38" s="489"/>
      <c r="P38" s="489"/>
      <c r="Q38" s="489"/>
      <c r="R38" s="489"/>
      <c r="S38" s="489"/>
      <c r="T38" s="490"/>
      <c r="U38" s="162"/>
      <c r="V38" s="488" t="s">
        <v>402</v>
      </c>
      <c r="W38" s="489"/>
      <c r="X38" s="489"/>
      <c r="Y38" s="489"/>
      <c r="Z38" s="489"/>
      <c r="AA38" s="489"/>
      <c r="AB38" s="489"/>
      <c r="AC38" s="489"/>
      <c r="AD38" s="490"/>
      <c r="AE38" s="162"/>
      <c r="AF38" s="488" t="s">
        <v>403</v>
      </c>
      <c r="AG38" s="489"/>
      <c r="AH38" s="489"/>
      <c r="AI38" s="489"/>
      <c r="AJ38" s="489"/>
      <c r="AK38" s="489"/>
      <c r="AL38" s="489"/>
      <c r="AM38" s="489"/>
      <c r="AN38" s="490"/>
      <c r="AO38" s="162"/>
      <c r="AP38" s="521" t="s">
        <v>404</v>
      </c>
      <c r="AQ38" s="489"/>
      <c r="AR38" s="489"/>
      <c r="AS38" s="489"/>
      <c r="AT38" s="489"/>
      <c r="AU38" s="489"/>
      <c r="AV38" s="489"/>
      <c r="AW38" s="489"/>
      <c r="AX38" s="522"/>
      <c r="AY38" s="163"/>
      <c r="AZ38" s="489" t="s">
        <v>405</v>
      </c>
      <c r="BA38" s="489"/>
      <c r="BB38" s="489"/>
      <c r="BC38" s="489"/>
      <c r="BD38" s="489"/>
      <c r="BE38" s="489"/>
      <c r="BF38" s="489"/>
      <c r="BG38" s="489"/>
      <c r="BH38" s="490"/>
      <c r="BI38" s="162"/>
      <c r="BJ38" s="488" t="s">
        <v>401</v>
      </c>
      <c r="BK38" s="489"/>
      <c r="BL38" s="489"/>
      <c r="BM38" s="489"/>
      <c r="BN38" s="489"/>
      <c r="BO38" s="489"/>
      <c r="BP38" s="489"/>
      <c r="BQ38" s="489"/>
      <c r="BR38" s="490"/>
    </row>
    <row r="39" spans="2:70" s="160" customFormat="1" ht="9" customHeight="1" x14ac:dyDescent="0.25">
      <c r="B39" s="161"/>
      <c r="C39" s="162"/>
      <c r="D39" s="162"/>
      <c r="E39" s="162"/>
      <c r="F39" s="162"/>
      <c r="G39" s="162"/>
      <c r="H39" s="162"/>
      <c r="I39" s="162"/>
      <c r="J39" s="163"/>
      <c r="K39" s="162"/>
      <c r="L39" s="161"/>
      <c r="M39" s="162"/>
      <c r="N39" s="162"/>
      <c r="O39" s="162"/>
      <c r="P39" s="162"/>
      <c r="Q39" s="162"/>
      <c r="R39" s="162"/>
      <c r="S39" s="162"/>
      <c r="T39" s="163"/>
      <c r="U39" s="162"/>
      <c r="V39" s="161"/>
      <c r="W39" s="162"/>
      <c r="X39" s="162"/>
      <c r="Y39" s="162"/>
      <c r="Z39" s="162"/>
      <c r="AA39" s="162"/>
      <c r="AB39" s="162"/>
      <c r="AC39" s="162"/>
      <c r="AD39" s="163"/>
      <c r="AE39" s="162"/>
      <c r="AF39" s="161"/>
      <c r="AG39" s="162"/>
      <c r="AH39" s="162"/>
      <c r="AI39" s="162"/>
      <c r="AJ39" s="162"/>
      <c r="AK39" s="162"/>
      <c r="AL39" s="162"/>
      <c r="AM39" s="162"/>
      <c r="AN39" s="163"/>
      <c r="AO39" s="162"/>
      <c r="AP39" s="169"/>
      <c r="AQ39" s="162"/>
      <c r="AR39" s="162"/>
      <c r="AS39" s="162"/>
      <c r="AT39" s="162"/>
      <c r="AU39" s="162"/>
      <c r="AV39" s="162"/>
      <c r="AW39" s="162"/>
      <c r="AX39" s="170"/>
      <c r="AY39" s="163"/>
      <c r="AZ39" s="162"/>
      <c r="BA39" s="162"/>
      <c r="BB39" s="162"/>
      <c r="BC39" s="162"/>
      <c r="BD39" s="162"/>
      <c r="BE39" s="162"/>
      <c r="BF39" s="162"/>
      <c r="BG39" s="162"/>
      <c r="BH39" s="163"/>
      <c r="BI39" s="162"/>
      <c r="BJ39" s="161"/>
      <c r="BK39" s="162"/>
      <c r="BL39" s="162"/>
      <c r="BM39" s="162"/>
      <c r="BN39" s="162"/>
      <c r="BO39" s="162"/>
      <c r="BP39" s="162"/>
      <c r="BQ39" s="162"/>
      <c r="BR39" s="163"/>
    </row>
    <row r="40" spans="2:70" s="156" customFormat="1" ht="9" customHeight="1" x14ac:dyDescent="0.25">
      <c r="B40" s="158"/>
      <c r="C40" s="157"/>
      <c r="D40" s="157"/>
      <c r="E40" s="157"/>
      <c r="F40" s="157"/>
      <c r="G40" s="157"/>
      <c r="H40" s="157"/>
      <c r="I40" s="157"/>
      <c r="J40" s="159"/>
      <c r="K40" s="157"/>
      <c r="L40" s="158"/>
      <c r="M40" s="157"/>
      <c r="N40" s="157"/>
      <c r="O40" s="157"/>
      <c r="P40" s="157"/>
      <c r="Q40" s="157"/>
      <c r="R40" s="157"/>
      <c r="S40" s="157"/>
      <c r="T40" s="159"/>
      <c r="U40" s="157"/>
      <c r="V40" s="158"/>
      <c r="W40" s="157"/>
      <c r="X40" s="157"/>
      <c r="Y40" s="157"/>
      <c r="Z40" s="157"/>
      <c r="AA40" s="157"/>
      <c r="AB40" s="157"/>
      <c r="AC40" s="157"/>
      <c r="AD40" s="159"/>
      <c r="AE40" s="157"/>
      <c r="AF40" s="158"/>
      <c r="AG40" s="157"/>
      <c r="AH40" s="157"/>
      <c r="AI40" s="157"/>
      <c r="AJ40" s="157"/>
      <c r="AK40" s="157"/>
      <c r="AL40" s="157"/>
      <c r="AM40" s="157"/>
      <c r="AN40" s="159"/>
      <c r="AO40" s="157"/>
      <c r="AP40" s="172"/>
      <c r="AQ40" s="157"/>
      <c r="AR40" s="157"/>
      <c r="AS40" s="157"/>
      <c r="AT40" s="157"/>
      <c r="AU40" s="157"/>
      <c r="AV40" s="157"/>
      <c r="AW40" s="157"/>
      <c r="AX40" s="173"/>
      <c r="AY40" s="159"/>
      <c r="AZ40" s="157"/>
      <c r="BA40" s="157"/>
      <c r="BB40" s="157"/>
      <c r="BC40" s="157"/>
      <c r="BD40" s="157"/>
      <c r="BE40" s="157"/>
      <c r="BF40" s="157"/>
      <c r="BG40" s="157"/>
      <c r="BH40" s="159"/>
      <c r="BI40" s="157"/>
      <c r="BJ40" s="158"/>
      <c r="BK40" s="157"/>
      <c r="BL40" s="157"/>
      <c r="BM40" s="157"/>
      <c r="BN40" s="157"/>
      <c r="BO40" s="157"/>
      <c r="BP40" s="157"/>
      <c r="BQ40" s="157"/>
      <c r="BR40" s="159"/>
    </row>
    <row r="41" spans="2:70" s="156" customFormat="1" ht="9" customHeight="1" x14ac:dyDescent="0.25">
      <c r="B41" s="158"/>
      <c r="C41" s="157"/>
      <c r="D41" s="157"/>
      <c r="E41" s="157"/>
      <c r="F41" s="157"/>
      <c r="G41" s="157"/>
      <c r="H41" s="157"/>
      <c r="I41" s="157"/>
      <c r="J41" s="159"/>
      <c r="K41" s="157"/>
      <c r="L41" s="158"/>
      <c r="M41" s="157"/>
      <c r="N41" s="157"/>
      <c r="O41" s="157"/>
      <c r="P41" s="157"/>
      <c r="Q41" s="157"/>
      <c r="R41" s="157"/>
      <c r="S41" s="157"/>
      <c r="T41" s="159"/>
      <c r="U41" s="157"/>
      <c r="V41" s="158"/>
      <c r="W41" s="157"/>
      <c r="X41" s="157"/>
      <c r="Y41" s="157"/>
      <c r="Z41" s="157"/>
      <c r="AA41" s="157"/>
      <c r="AB41" s="157"/>
      <c r="AC41" s="157"/>
      <c r="AD41" s="159"/>
      <c r="AE41" s="157"/>
      <c r="AF41" s="158"/>
      <c r="AG41" s="157"/>
      <c r="AH41" s="157"/>
      <c r="AI41" s="157"/>
      <c r="AJ41" s="157"/>
      <c r="AK41" s="157"/>
      <c r="AL41" s="157"/>
      <c r="AM41" s="157"/>
      <c r="AN41" s="159"/>
      <c r="AO41" s="157"/>
      <c r="AP41" s="172"/>
      <c r="AQ41" s="157"/>
      <c r="AR41" s="157"/>
      <c r="AS41" s="157"/>
      <c r="AT41" s="157"/>
      <c r="AU41" s="157"/>
      <c r="AV41" s="157"/>
      <c r="AW41" s="157"/>
      <c r="AX41" s="173"/>
      <c r="AY41" s="159"/>
      <c r="AZ41" s="157"/>
      <c r="BA41" s="157"/>
      <c r="BB41" s="157"/>
      <c r="BC41" s="157"/>
      <c r="BD41" s="157"/>
      <c r="BE41" s="157"/>
      <c r="BF41" s="157"/>
      <c r="BG41" s="157"/>
      <c r="BH41" s="159"/>
      <c r="BI41" s="157"/>
      <c r="BJ41" s="158"/>
      <c r="BK41" s="157"/>
      <c r="BL41" s="157"/>
      <c r="BM41" s="157"/>
      <c r="BN41" s="157"/>
      <c r="BO41" s="157"/>
      <c r="BP41" s="157"/>
      <c r="BQ41" s="157"/>
      <c r="BR41" s="159"/>
    </row>
    <row r="42" spans="2:70" s="156" customFormat="1" ht="9.75" customHeight="1" x14ac:dyDescent="0.25">
      <c r="B42" s="158"/>
      <c r="C42" s="157"/>
      <c r="D42" s="157"/>
      <c r="E42" s="157"/>
      <c r="F42" s="157"/>
      <c r="G42" s="157"/>
      <c r="H42" s="157"/>
      <c r="I42" s="157"/>
      <c r="J42" s="159"/>
      <c r="K42" s="157"/>
      <c r="L42" s="158"/>
      <c r="M42" s="157"/>
      <c r="N42" s="157"/>
      <c r="O42" s="157"/>
      <c r="P42" s="157"/>
      <c r="Q42" s="157"/>
      <c r="R42" s="157"/>
      <c r="S42" s="157"/>
      <c r="T42" s="159"/>
      <c r="U42" s="157"/>
      <c r="V42" s="158"/>
      <c r="W42" s="157"/>
      <c r="X42" s="157"/>
      <c r="Y42" s="157"/>
      <c r="Z42" s="157"/>
      <c r="AA42" s="157"/>
      <c r="AB42" s="157"/>
      <c r="AC42" s="157"/>
      <c r="AD42" s="159"/>
      <c r="AE42" s="157"/>
      <c r="AF42" s="158"/>
      <c r="AG42" s="157"/>
      <c r="AH42" s="157"/>
      <c r="AI42" s="157"/>
      <c r="AJ42" s="157"/>
      <c r="AK42" s="157"/>
      <c r="AL42" s="157"/>
      <c r="AM42" s="157"/>
      <c r="AN42" s="159"/>
      <c r="AO42" s="157"/>
      <c r="AP42" s="172"/>
      <c r="AQ42" s="157"/>
      <c r="AR42" s="157"/>
      <c r="AS42" s="157"/>
      <c r="AT42" s="157"/>
      <c r="AU42" s="157"/>
      <c r="AV42" s="157"/>
      <c r="AW42" s="157"/>
      <c r="AX42" s="173"/>
      <c r="AY42" s="159"/>
      <c r="AZ42" s="157"/>
      <c r="BA42" s="157"/>
      <c r="BB42" s="157"/>
      <c r="BC42" s="157"/>
      <c r="BD42" s="157"/>
      <c r="BE42" s="157"/>
      <c r="BF42" s="157"/>
      <c r="BG42" s="157"/>
      <c r="BH42" s="159"/>
      <c r="BI42" s="157"/>
      <c r="BJ42" s="158"/>
      <c r="BK42" s="157"/>
      <c r="BL42" s="157"/>
      <c r="BM42" s="157"/>
      <c r="BN42" s="157"/>
      <c r="BO42" s="157"/>
      <c r="BP42" s="157"/>
      <c r="BQ42" s="157"/>
      <c r="BR42" s="159"/>
    </row>
    <row r="43" spans="2:70" s="156" customFormat="1" ht="9.75" customHeight="1" x14ac:dyDescent="0.25">
      <c r="B43" s="158"/>
      <c r="C43" s="157"/>
      <c r="D43" s="157"/>
      <c r="E43" s="157"/>
      <c r="F43" s="157"/>
      <c r="G43" s="157"/>
      <c r="H43" s="157"/>
      <c r="I43" s="157"/>
      <c r="J43" s="159"/>
      <c r="K43" s="157"/>
      <c r="L43" s="158"/>
      <c r="M43" s="157"/>
      <c r="N43" s="157"/>
      <c r="O43" s="157"/>
      <c r="P43" s="157"/>
      <c r="Q43" s="157"/>
      <c r="R43" s="157"/>
      <c r="S43" s="157"/>
      <c r="T43" s="159"/>
      <c r="U43" s="157"/>
      <c r="V43" s="158"/>
      <c r="W43" s="157"/>
      <c r="X43" s="157"/>
      <c r="Y43" s="157"/>
      <c r="Z43" s="157"/>
      <c r="AA43" s="157"/>
      <c r="AB43" s="157"/>
      <c r="AC43" s="157"/>
      <c r="AD43" s="159"/>
      <c r="AE43" s="157"/>
      <c r="AF43" s="158"/>
      <c r="AG43" s="157"/>
      <c r="AH43" s="157"/>
      <c r="AI43" s="157"/>
      <c r="AJ43" s="157"/>
      <c r="AK43" s="157"/>
      <c r="AL43" s="157"/>
      <c r="AM43" s="157"/>
      <c r="AN43" s="159"/>
      <c r="AO43" s="157"/>
      <c r="AP43" s="172"/>
      <c r="AQ43" s="157"/>
      <c r="AR43" s="157"/>
      <c r="AS43" s="157"/>
      <c r="AT43" s="157"/>
      <c r="AU43" s="157"/>
      <c r="AV43" s="157"/>
      <c r="AW43" s="157"/>
      <c r="AX43" s="173"/>
      <c r="AY43" s="159"/>
      <c r="AZ43" s="157"/>
      <c r="BA43" s="157"/>
      <c r="BB43" s="157"/>
      <c r="BC43" s="157"/>
      <c r="BD43" s="157"/>
      <c r="BE43" s="157"/>
      <c r="BF43" s="157"/>
      <c r="BG43" s="157"/>
      <c r="BH43" s="159"/>
      <c r="BI43" s="157"/>
      <c r="BJ43" s="158"/>
      <c r="BK43" s="157"/>
      <c r="BL43" s="157"/>
      <c r="BM43" s="157"/>
      <c r="BN43" s="157"/>
      <c r="BO43" s="157"/>
      <c r="BP43" s="157"/>
      <c r="BQ43" s="157"/>
      <c r="BR43" s="159"/>
    </row>
    <row r="44" spans="2:70" s="156" customFormat="1" ht="9.75" customHeight="1" x14ac:dyDescent="0.25">
      <c r="B44" s="158"/>
      <c r="C44" s="157"/>
      <c r="D44" s="157"/>
      <c r="E44" s="157"/>
      <c r="F44" s="157"/>
      <c r="G44" s="157"/>
      <c r="H44" s="157"/>
      <c r="I44" s="157"/>
      <c r="J44" s="159"/>
      <c r="K44" s="157"/>
      <c r="L44" s="158"/>
      <c r="M44" s="157"/>
      <c r="N44" s="157"/>
      <c r="O44" s="157"/>
      <c r="P44" s="157"/>
      <c r="Q44" s="157"/>
      <c r="R44" s="157"/>
      <c r="S44" s="157"/>
      <c r="T44" s="159"/>
      <c r="U44" s="157"/>
      <c r="V44" s="158"/>
      <c r="W44" s="157"/>
      <c r="X44" s="157"/>
      <c r="Y44" s="157"/>
      <c r="Z44" s="157"/>
      <c r="AA44" s="157"/>
      <c r="AB44" s="157"/>
      <c r="AC44" s="157"/>
      <c r="AD44" s="159"/>
      <c r="AE44" s="157"/>
      <c r="AF44" s="158"/>
      <c r="AG44" s="157"/>
      <c r="AH44" s="157"/>
      <c r="AI44" s="157"/>
      <c r="AJ44" s="157"/>
      <c r="AK44" s="157"/>
      <c r="AL44" s="157"/>
      <c r="AM44" s="157"/>
      <c r="AN44" s="159"/>
      <c r="AO44" s="157"/>
      <c r="AP44" s="172"/>
      <c r="AQ44" s="157"/>
      <c r="AR44" s="157"/>
      <c r="AS44" s="157"/>
      <c r="AT44" s="157"/>
      <c r="AU44" s="157"/>
      <c r="AV44" s="157"/>
      <c r="AW44" s="157"/>
      <c r="AX44" s="173"/>
      <c r="AY44" s="159"/>
      <c r="AZ44" s="157"/>
      <c r="BA44" s="157"/>
      <c r="BB44" s="157"/>
      <c r="BC44" s="157"/>
      <c r="BD44" s="157"/>
      <c r="BE44" s="157"/>
      <c r="BF44" s="157"/>
      <c r="BG44" s="157"/>
      <c r="BH44" s="159"/>
      <c r="BI44" s="157"/>
      <c r="BJ44" s="158"/>
      <c r="BK44" s="157"/>
      <c r="BL44" s="157"/>
      <c r="BM44" s="157"/>
      <c r="BN44" s="157"/>
      <c r="BO44" s="157"/>
      <c r="BP44" s="157"/>
      <c r="BQ44" s="157"/>
      <c r="BR44" s="159"/>
    </row>
    <row r="45" spans="2:70" s="174" customFormat="1" ht="9" customHeight="1" x14ac:dyDescent="0.25">
      <c r="B45" s="175"/>
      <c r="C45" s="150"/>
      <c r="D45" s="150"/>
      <c r="E45" s="150"/>
      <c r="F45" s="150"/>
      <c r="G45" s="150"/>
      <c r="H45" s="150"/>
      <c r="I45" s="150"/>
      <c r="J45" s="151"/>
      <c r="K45" s="150"/>
      <c r="L45" s="175"/>
      <c r="M45" s="150"/>
      <c r="N45" s="150"/>
      <c r="O45" s="150"/>
      <c r="P45" s="150"/>
      <c r="Q45" s="150"/>
      <c r="R45" s="150"/>
      <c r="S45" s="150"/>
      <c r="T45" s="151"/>
      <c r="U45" s="150"/>
      <c r="V45" s="175"/>
      <c r="W45" s="150"/>
      <c r="X45" s="150"/>
      <c r="Y45" s="150"/>
      <c r="Z45" s="150"/>
      <c r="AA45" s="150"/>
      <c r="AB45" s="150"/>
      <c r="AC45" s="150"/>
      <c r="AD45" s="151"/>
      <c r="AE45" s="150"/>
      <c r="AF45" s="175"/>
      <c r="AG45" s="150"/>
      <c r="AH45" s="150"/>
      <c r="AI45" s="150"/>
      <c r="AJ45" s="150"/>
      <c r="AK45" s="150"/>
      <c r="AL45" s="150"/>
      <c r="AM45" s="150"/>
      <c r="AN45" s="151"/>
      <c r="AO45" s="150"/>
      <c r="AP45" s="177"/>
      <c r="AQ45" s="150"/>
      <c r="AR45" s="150"/>
      <c r="AS45" s="150"/>
      <c r="AT45" s="150"/>
      <c r="AU45" s="150"/>
      <c r="AV45" s="150"/>
      <c r="AW45" s="150"/>
      <c r="AX45" s="178"/>
      <c r="AY45" s="151"/>
      <c r="AZ45" s="150"/>
      <c r="BA45" s="150"/>
      <c r="BB45" s="150"/>
      <c r="BC45" s="150"/>
      <c r="BD45" s="150"/>
      <c r="BE45" s="150"/>
      <c r="BF45" s="150"/>
      <c r="BG45" s="150"/>
      <c r="BH45" s="151"/>
      <c r="BI45" s="150"/>
      <c r="BJ45" s="175"/>
      <c r="BK45" s="150"/>
      <c r="BL45" s="150"/>
      <c r="BM45" s="150"/>
      <c r="BN45" s="150"/>
      <c r="BO45" s="150"/>
      <c r="BP45" s="150"/>
      <c r="BQ45" s="150"/>
      <c r="BR45" s="151"/>
    </row>
    <row r="46" spans="2:70" s="174" customFormat="1" ht="9" customHeight="1" x14ac:dyDescent="0.25">
      <c r="B46" s="175"/>
      <c r="C46" s="150"/>
      <c r="D46" s="150"/>
      <c r="E46" s="150"/>
      <c r="F46" s="150"/>
      <c r="G46" s="150"/>
      <c r="H46" s="150"/>
      <c r="I46" s="150"/>
      <c r="J46" s="151"/>
      <c r="K46" s="150"/>
      <c r="L46" s="175"/>
      <c r="M46" s="150"/>
      <c r="N46" s="150"/>
      <c r="O46" s="150"/>
      <c r="P46" s="150"/>
      <c r="Q46" s="150"/>
      <c r="R46" s="150"/>
      <c r="S46" s="150"/>
      <c r="T46" s="151"/>
      <c r="U46" s="150"/>
      <c r="V46" s="175"/>
      <c r="W46" s="150"/>
      <c r="X46" s="150"/>
      <c r="Y46" s="150"/>
      <c r="Z46" s="150"/>
      <c r="AA46" s="150"/>
      <c r="AB46" s="150"/>
      <c r="AC46" s="150"/>
      <c r="AD46" s="151"/>
      <c r="AE46" s="150"/>
      <c r="AF46" s="175"/>
      <c r="AG46" s="150"/>
      <c r="AH46" s="150"/>
      <c r="AI46" s="150"/>
      <c r="AJ46" s="150"/>
      <c r="AK46" s="150"/>
      <c r="AL46" s="150"/>
      <c r="AM46" s="150"/>
      <c r="AN46" s="151"/>
      <c r="AO46" s="150"/>
      <c r="AP46" s="177"/>
      <c r="AQ46" s="150"/>
      <c r="AR46" s="150"/>
      <c r="AS46" s="150"/>
      <c r="AT46" s="150"/>
      <c r="AU46" s="150"/>
      <c r="AV46" s="150"/>
      <c r="AW46" s="150"/>
      <c r="AX46" s="178"/>
      <c r="AY46" s="151"/>
      <c r="AZ46" s="150"/>
      <c r="BA46" s="150"/>
      <c r="BB46" s="150"/>
      <c r="BC46" s="150"/>
      <c r="BD46" s="150"/>
      <c r="BE46" s="150"/>
      <c r="BF46" s="150"/>
      <c r="BG46" s="150"/>
      <c r="BH46" s="151"/>
      <c r="BI46" s="150"/>
      <c r="BJ46" s="175"/>
      <c r="BK46" s="150"/>
      <c r="BL46" s="150"/>
      <c r="BM46" s="150"/>
      <c r="BN46" s="150"/>
      <c r="BO46" s="150"/>
      <c r="BP46" s="150"/>
      <c r="BQ46" s="150"/>
      <c r="BR46" s="151"/>
    </row>
    <row r="47" spans="2:70" s="174" customFormat="1" ht="9" customHeight="1" x14ac:dyDescent="0.25">
      <c r="B47" s="491" t="s">
        <v>371</v>
      </c>
      <c r="C47" s="491"/>
      <c r="D47" s="491"/>
      <c r="E47" s="491"/>
      <c r="F47" s="491"/>
      <c r="G47" s="492">
        <f>CEILING(4442*A3,1)</f>
        <v>8440</v>
      </c>
      <c r="H47" s="492"/>
      <c r="I47" s="492"/>
      <c r="J47" s="492"/>
      <c r="K47" s="133"/>
      <c r="L47" s="491" t="s">
        <v>371</v>
      </c>
      <c r="M47" s="491"/>
      <c r="N47" s="491"/>
      <c r="O47" s="491"/>
      <c r="P47" s="491"/>
      <c r="Q47" s="492">
        <f>CEILING(4723*A3,1)</f>
        <v>8974</v>
      </c>
      <c r="R47" s="492"/>
      <c r="S47" s="492"/>
      <c r="T47" s="492"/>
      <c r="U47" s="133"/>
      <c r="V47" s="491" t="s">
        <v>371</v>
      </c>
      <c r="W47" s="491"/>
      <c r="X47" s="491"/>
      <c r="Y47" s="491"/>
      <c r="Z47" s="491"/>
      <c r="AA47" s="492">
        <f>CEILING(4356*A3,1)</f>
        <v>8277</v>
      </c>
      <c r="AB47" s="492"/>
      <c r="AC47" s="492"/>
      <c r="AD47" s="492"/>
      <c r="AE47" s="133"/>
      <c r="AF47" s="491" t="s">
        <v>371</v>
      </c>
      <c r="AG47" s="491"/>
      <c r="AH47" s="491"/>
      <c r="AI47" s="491"/>
      <c r="AJ47" s="491"/>
      <c r="AK47" s="492">
        <f>CEILING(4794*A3,1)</f>
        <v>9109</v>
      </c>
      <c r="AL47" s="492"/>
      <c r="AM47" s="492"/>
      <c r="AN47" s="492"/>
      <c r="AO47" s="133"/>
      <c r="AP47" s="491" t="s">
        <v>371</v>
      </c>
      <c r="AQ47" s="491"/>
      <c r="AR47" s="491"/>
      <c r="AS47" s="491"/>
      <c r="AT47" s="491"/>
      <c r="AU47" s="492">
        <f>CEILING(4821*A3,1)</f>
        <v>9160</v>
      </c>
      <c r="AV47" s="492"/>
      <c r="AW47" s="492"/>
      <c r="AX47" s="492"/>
      <c r="AY47" s="133"/>
      <c r="AZ47" s="491" t="s">
        <v>371</v>
      </c>
      <c r="BA47" s="491"/>
      <c r="BB47" s="491"/>
      <c r="BC47" s="491"/>
      <c r="BD47" s="491"/>
      <c r="BE47" s="492">
        <f>CEILING(3864*A3,1)</f>
        <v>7342</v>
      </c>
      <c r="BF47" s="492"/>
      <c r="BG47" s="492"/>
      <c r="BH47" s="492"/>
      <c r="BI47" s="140"/>
      <c r="BJ47" s="141"/>
      <c r="BK47" s="140"/>
      <c r="BL47" s="140"/>
      <c r="BM47" s="140"/>
      <c r="BN47" s="140"/>
      <c r="BO47" s="140"/>
      <c r="BP47" s="140"/>
      <c r="BQ47" s="140"/>
      <c r="BR47" s="143"/>
    </row>
    <row r="48" spans="2:70" s="174" customFormat="1" ht="9" customHeight="1" x14ac:dyDescent="0.25">
      <c r="B48" s="491" t="s">
        <v>372</v>
      </c>
      <c r="C48" s="491"/>
      <c r="D48" s="491"/>
      <c r="E48" s="491"/>
      <c r="F48" s="491"/>
      <c r="G48" s="492">
        <f>CEILING(4693*A3,1)</f>
        <v>8917</v>
      </c>
      <c r="H48" s="492"/>
      <c r="I48" s="492"/>
      <c r="J48" s="492"/>
      <c r="K48" s="133"/>
      <c r="L48" s="491" t="s">
        <v>372</v>
      </c>
      <c r="M48" s="491"/>
      <c r="N48" s="491"/>
      <c r="O48" s="491"/>
      <c r="P48" s="491"/>
      <c r="Q48" s="492">
        <f>CEILING(4976*A3,1)</f>
        <v>9455</v>
      </c>
      <c r="R48" s="492"/>
      <c r="S48" s="492"/>
      <c r="T48" s="492"/>
      <c r="U48" s="133"/>
      <c r="V48" s="491" t="s">
        <v>372</v>
      </c>
      <c r="W48" s="491"/>
      <c r="X48" s="491"/>
      <c r="Y48" s="491"/>
      <c r="Z48" s="491"/>
      <c r="AA48" s="492">
        <f>CEILING(4567*A3,1)</f>
        <v>8678</v>
      </c>
      <c r="AB48" s="492"/>
      <c r="AC48" s="492"/>
      <c r="AD48" s="492"/>
      <c r="AE48" s="133"/>
      <c r="AF48" s="491" t="s">
        <v>372</v>
      </c>
      <c r="AG48" s="491"/>
      <c r="AH48" s="491"/>
      <c r="AI48" s="491"/>
      <c r="AJ48" s="491"/>
      <c r="AK48" s="492">
        <f>CEILING(4976*A3,1)</f>
        <v>9455</v>
      </c>
      <c r="AL48" s="492"/>
      <c r="AM48" s="492"/>
      <c r="AN48" s="492"/>
      <c r="AO48" s="133"/>
      <c r="AP48" s="491" t="s">
        <v>372</v>
      </c>
      <c r="AQ48" s="491"/>
      <c r="AR48" s="491"/>
      <c r="AS48" s="491"/>
      <c r="AT48" s="491"/>
      <c r="AU48" s="492">
        <f>CEILING(5075*A3,1)</f>
        <v>9643</v>
      </c>
      <c r="AV48" s="492"/>
      <c r="AW48" s="492"/>
      <c r="AX48" s="492"/>
      <c r="AY48" s="133"/>
      <c r="AZ48" s="491" t="s">
        <v>372</v>
      </c>
      <c r="BA48" s="491"/>
      <c r="BB48" s="491"/>
      <c r="BC48" s="491"/>
      <c r="BD48" s="491"/>
      <c r="BE48" s="492">
        <f>CEILING(4088*A3,1)</f>
        <v>7768</v>
      </c>
      <c r="BF48" s="492"/>
      <c r="BG48" s="492"/>
      <c r="BH48" s="492"/>
      <c r="BI48" s="140"/>
      <c r="BJ48" s="506" t="s">
        <v>390</v>
      </c>
      <c r="BK48" s="506"/>
      <c r="BL48" s="506"/>
      <c r="BM48" s="491"/>
      <c r="BN48" s="506"/>
      <c r="BO48" s="492">
        <f>CEILING(6610*A3,1)</f>
        <v>12559</v>
      </c>
      <c r="BP48" s="509"/>
      <c r="BQ48" s="510"/>
      <c r="BR48" s="511"/>
    </row>
    <row r="49" spans="2:70" s="174" customFormat="1" ht="9" customHeight="1" x14ac:dyDescent="0.25">
      <c r="B49" s="491" t="s">
        <v>373</v>
      </c>
      <c r="C49" s="491"/>
      <c r="D49" s="491"/>
      <c r="E49" s="491"/>
      <c r="F49" s="491"/>
      <c r="G49" s="492">
        <f>CEILING(4948*A3,1)</f>
        <v>9402</v>
      </c>
      <c r="H49" s="492"/>
      <c r="I49" s="492"/>
      <c r="J49" s="492"/>
      <c r="K49" s="133"/>
      <c r="L49" s="491" t="s">
        <v>373</v>
      </c>
      <c r="M49" s="491"/>
      <c r="N49" s="491"/>
      <c r="O49" s="491"/>
      <c r="P49" s="491"/>
      <c r="Q49" s="492">
        <f>CEILING(5217*A3,1)</f>
        <v>9913</v>
      </c>
      <c r="R49" s="492"/>
      <c r="S49" s="492"/>
      <c r="T49" s="492"/>
      <c r="U49" s="133"/>
      <c r="V49" s="491" t="s">
        <v>373</v>
      </c>
      <c r="W49" s="491"/>
      <c r="X49" s="491"/>
      <c r="Y49" s="491"/>
      <c r="Z49" s="491"/>
      <c r="AA49" s="492">
        <f>CEILING(4794*A3,1)</f>
        <v>9109</v>
      </c>
      <c r="AB49" s="492"/>
      <c r="AC49" s="492"/>
      <c r="AD49" s="492"/>
      <c r="AE49" s="133"/>
      <c r="AF49" s="491" t="s">
        <v>373</v>
      </c>
      <c r="AG49" s="491"/>
      <c r="AH49" s="491"/>
      <c r="AI49" s="491"/>
      <c r="AJ49" s="491"/>
      <c r="AK49" s="492">
        <f>CEILING(5190*A3,1)</f>
        <v>9861</v>
      </c>
      <c r="AL49" s="492"/>
      <c r="AM49" s="492"/>
      <c r="AN49" s="492"/>
      <c r="AO49" s="133"/>
      <c r="AP49" s="491" t="s">
        <v>373</v>
      </c>
      <c r="AQ49" s="491"/>
      <c r="AR49" s="491"/>
      <c r="AS49" s="491"/>
      <c r="AT49" s="491"/>
      <c r="AU49" s="492">
        <f>CEILING(5300*A3,1)</f>
        <v>10070</v>
      </c>
      <c r="AV49" s="492"/>
      <c r="AW49" s="492"/>
      <c r="AX49" s="492"/>
      <c r="AY49" s="133"/>
      <c r="AZ49" s="491" t="s">
        <v>373</v>
      </c>
      <c r="BA49" s="491"/>
      <c r="BB49" s="491"/>
      <c r="BC49" s="491"/>
      <c r="BD49" s="491"/>
      <c r="BE49" s="492">
        <f>CEILING(4344*A3,1)</f>
        <v>8254</v>
      </c>
      <c r="BF49" s="492"/>
      <c r="BG49" s="492"/>
      <c r="BH49" s="492"/>
      <c r="BI49" s="140"/>
      <c r="BJ49" s="506" t="s">
        <v>391</v>
      </c>
      <c r="BK49" s="506"/>
      <c r="BL49" s="506"/>
      <c r="BM49" s="491"/>
      <c r="BN49" s="506"/>
      <c r="BO49" s="126">
        <f>CEILING(6848*A3,1)</f>
        <v>13012</v>
      </c>
      <c r="BP49" s="509"/>
      <c r="BQ49" s="510"/>
      <c r="BR49" s="511"/>
    </row>
    <row r="50" spans="2:70" s="156" customFormat="1" ht="1.5" customHeight="1" x14ac:dyDescent="0.25">
      <c r="B50" s="157"/>
      <c r="C50" s="157"/>
      <c r="D50" s="157"/>
      <c r="E50" s="157"/>
      <c r="F50" s="157"/>
      <c r="G50" s="157"/>
      <c r="H50" s="157"/>
      <c r="I50" s="157"/>
      <c r="J50" s="157"/>
      <c r="K50" s="157"/>
      <c r="L50" s="157"/>
      <c r="M50" s="157"/>
      <c r="N50" s="157"/>
      <c r="O50" s="157"/>
      <c r="P50" s="157"/>
      <c r="Q50" s="157"/>
      <c r="R50" s="157"/>
      <c r="S50" s="157"/>
      <c r="T50" s="157"/>
      <c r="U50" s="133"/>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66"/>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row>
    <row r="51" spans="2:70" s="156" customFormat="1" ht="9" customHeight="1" x14ac:dyDescent="0.25">
      <c r="B51" s="482" t="s">
        <v>406</v>
      </c>
      <c r="C51" s="483"/>
      <c r="D51" s="484"/>
      <c r="E51" s="504" t="s">
        <v>165</v>
      </c>
      <c r="F51" s="504"/>
      <c r="G51" s="504"/>
      <c r="H51" s="504"/>
      <c r="I51" s="504"/>
      <c r="J51" s="505"/>
      <c r="K51" s="157"/>
      <c r="L51" s="146" t="s">
        <v>407</v>
      </c>
      <c r="M51" s="147"/>
      <c r="N51" s="147"/>
      <c r="O51" s="148"/>
      <c r="P51" s="180"/>
      <c r="Q51" s="149"/>
      <c r="R51" s="149"/>
      <c r="S51" s="149"/>
      <c r="T51" s="149"/>
      <c r="U51" s="133"/>
      <c r="V51" s="149" t="s">
        <v>408</v>
      </c>
      <c r="W51" s="149"/>
      <c r="X51" s="149"/>
      <c r="Y51" s="149"/>
      <c r="Z51" s="149"/>
      <c r="AA51" s="149"/>
      <c r="AB51" s="149"/>
      <c r="AC51" s="149"/>
      <c r="AD51" s="181"/>
      <c r="AE51" s="157"/>
      <c r="AF51" s="512" t="s">
        <v>409</v>
      </c>
      <c r="AG51" s="513"/>
      <c r="AH51" s="514"/>
      <c r="AI51" s="516" t="s">
        <v>410</v>
      </c>
      <c r="AJ51" s="516"/>
      <c r="AK51" s="516"/>
      <c r="AL51" s="516"/>
      <c r="AM51" s="516"/>
      <c r="AN51" s="517"/>
      <c r="AO51" s="157"/>
      <c r="AP51" s="482" t="s">
        <v>411</v>
      </c>
      <c r="AQ51" s="483"/>
      <c r="AR51" s="484"/>
      <c r="AS51" s="504" t="s">
        <v>412</v>
      </c>
      <c r="AT51" s="504"/>
      <c r="AU51" s="504"/>
      <c r="AV51" s="504"/>
      <c r="AW51" s="504"/>
      <c r="AX51" s="505"/>
      <c r="AY51" s="157"/>
      <c r="AZ51" s="482" t="s">
        <v>413</v>
      </c>
      <c r="BA51" s="483"/>
      <c r="BB51" s="484"/>
      <c r="BC51" s="504" t="s">
        <v>414</v>
      </c>
      <c r="BD51" s="504"/>
      <c r="BE51" s="504"/>
      <c r="BF51" s="504"/>
      <c r="BG51" s="504"/>
      <c r="BH51" s="505"/>
      <c r="BI51" s="157"/>
      <c r="BJ51" s="482" t="s">
        <v>415</v>
      </c>
      <c r="BK51" s="482"/>
      <c r="BL51" s="482"/>
      <c r="BM51" s="168" t="s">
        <v>416</v>
      </c>
      <c r="BN51" s="503"/>
      <c r="BO51" s="504"/>
      <c r="BP51" s="503"/>
      <c r="BQ51" s="503"/>
      <c r="BR51" s="503"/>
    </row>
    <row r="52" spans="2:70" s="160" customFormat="1" ht="9" customHeight="1" x14ac:dyDescent="0.25">
      <c r="B52" s="488" t="s">
        <v>417</v>
      </c>
      <c r="C52" s="489"/>
      <c r="D52" s="489"/>
      <c r="E52" s="489"/>
      <c r="F52" s="489"/>
      <c r="G52" s="489"/>
      <c r="H52" s="489"/>
      <c r="I52" s="489"/>
      <c r="J52" s="490"/>
      <c r="K52" s="162"/>
      <c r="L52" s="523" t="s">
        <v>418</v>
      </c>
      <c r="M52" s="524"/>
      <c r="N52" s="524"/>
      <c r="O52" s="524"/>
      <c r="P52" s="524"/>
      <c r="Q52" s="524"/>
      <c r="R52" s="524"/>
      <c r="S52" s="524"/>
      <c r="T52" s="525"/>
      <c r="U52" s="133"/>
      <c r="V52" s="526" t="s">
        <v>418</v>
      </c>
      <c r="W52" s="527"/>
      <c r="X52" s="527"/>
      <c r="Y52" s="527"/>
      <c r="Z52" s="527"/>
      <c r="AA52" s="527"/>
      <c r="AB52" s="527"/>
      <c r="AC52" s="527"/>
      <c r="AD52" s="528"/>
      <c r="AE52" s="162"/>
      <c r="AF52" s="169"/>
      <c r="AG52" s="162"/>
      <c r="AH52" s="162"/>
      <c r="AI52" s="162"/>
      <c r="AJ52" s="162"/>
      <c r="AK52" s="162"/>
      <c r="AL52" s="162"/>
      <c r="AM52" s="162"/>
      <c r="AN52" s="170"/>
      <c r="AO52" s="162"/>
      <c r="AP52" s="488" t="s">
        <v>419</v>
      </c>
      <c r="AQ52" s="489"/>
      <c r="AR52" s="489"/>
      <c r="AS52" s="489"/>
      <c r="AT52" s="489"/>
      <c r="AU52" s="489"/>
      <c r="AV52" s="489"/>
      <c r="AW52" s="489"/>
      <c r="AX52" s="490"/>
      <c r="AY52" s="162"/>
      <c r="AZ52" s="488" t="s">
        <v>420</v>
      </c>
      <c r="BA52" s="489"/>
      <c r="BB52" s="489"/>
      <c r="BC52" s="489"/>
      <c r="BD52" s="489"/>
      <c r="BE52" s="489"/>
      <c r="BF52" s="489"/>
      <c r="BG52" s="489"/>
      <c r="BH52" s="490"/>
      <c r="BI52" s="162"/>
      <c r="BJ52" s="161"/>
      <c r="BK52" s="162"/>
      <c r="BL52" s="162"/>
      <c r="BM52" s="162"/>
      <c r="BN52" s="162"/>
      <c r="BO52" s="162"/>
      <c r="BP52" s="162"/>
      <c r="BQ52" s="162"/>
      <c r="BR52" s="163"/>
    </row>
    <row r="53" spans="2:70" s="160" customFormat="1" ht="9" customHeight="1" x14ac:dyDescent="0.25">
      <c r="B53" s="161"/>
      <c r="C53" s="162"/>
      <c r="D53" s="162"/>
      <c r="E53" s="162"/>
      <c r="F53" s="162"/>
      <c r="G53" s="162"/>
      <c r="H53" s="162"/>
      <c r="I53" s="162"/>
      <c r="J53" s="163"/>
      <c r="K53" s="162"/>
      <c r="L53" s="182"/>
      <c r="M53" s="183"/>
      <c r="N53" s="183"/>
      <c r="O53" s="183"/>
      <c r="P53" s="183"/>
      <c r="Q53" s="183"/>
      <c r="R53" s="183"/>
      <c r="S53" s="183"/>
      <c r="T53" s="183"/>
      <c r="U53" s="133"/>
      <c r="V53" s="149"/>
      <c r="W53" s="149"/>
      <c r="X53" s="149"/>
      <c r="Y53" s="149"/>
      <c r="Z53" s="149"/>
      <c r="AA53" s="149"/>
      <c r="AB53" s="149"/>
      <c r="AC53" s="149"/>
      <c r="AD53" s="181"/>
      <c r="AE53" s="162"/>
      <c r="AF53" s="169"/>
      <c r="AG53" s="162"/>
      <c r="AH53" s="162"/>
      <c r="AI53" s="162"/>
      <c r="AJ53" s="162"/>
      <c r="AK53" s="162"/>
      <c r="AL53" s="162"/>
      <c r="AM53" s="162"/>
      <c r="AN53" s="170"/>
      <c r="AO53" s="162"/>
      <c r="AP53" s="161"/>
      <c r="AQ53" s="162"/>
      <c r="AR53" s="162"/>
      <c r="AS53" s="162"/>
      <c r="AT53" s="162"/>
      <c r="AU53" s="162"/>
      <c r="AV53" s="162"/>
      <c r="AW53" s="162"/>
      <c r="AX53" s="163"/>
      <c r="AY53" s="162"/>
      <c r="AZ53" s="161"/>
      <c r="BA53" s="162"/>
      <c r="BB53" s="162"/>
      <c r="BC53" s="162"/>
      <c r="BD53" s="162"/>
      <c r="BE53" s="162"/>
      <c r="BF53" s="162"/>
      <c r="BG53" s="162"/>
      <c r="BH53" s="163"/>
      <c r="BI53" s="162"/>
      <c r="BJ53" s="161"/>
      <c r="BK53" s="162"/>
      <c r="BL53" s="162"/>
      <c r="BM53" s="162"/>
      <c r="BN53" s="162"/>
      <c r="BO53" s="162"/>
      <c r="BP53" s="162"/>
      <c r="BQ53" s="162"/>
      <c r="BR53" s="163"/>
    </row>
    <row r="54" spans="2:70" s="160" customFormat="1" ht="9" customHeight="1" x14ac:dyDescent="0.25">
      <c r="B54" s="161"/>
      <c r="C54" s="162"/>
      <c r="D54" s="162"/>
      <c r="E54" s="162"/>
      <c r="F54" s="162"/>
      <c r="G54" s="162"/>
      <c r="H54" s="162"/>
      <c r="I54" s="162"/>
      <c r="J54" s="163"/>
      <c r="K54" s="162"/>
      <c r="L54" s="161"/>
      <c r="M54" s="162"/>
      <c r="N54" s="162"/>
      <c r="O54" s="162"/>
      <c r="P54" s="162"/>
      <c r="Q54" s="149"/>
      <c r="R54" s="149"/>
      <c r="S54" s="149"/>
      <c r="T54" s="149"/>
      <c r="U54" s="133"/>
      <c r="V54" s="149"/>
      <c r="W54" s="149"/>
      <c r="X54" s="149"/>
      <c r="Y54" s="149"/>
      <c r="Z54" s="149"/>
      <c r="AA54" s="149"/>
      <c r="AB54" s="149"/>
      <c r="AC54" s="149"/>
      <c r="AD54" s="181"/>
      <c r="AE54" s="162"/>
      <c r="AF54" s="169"/>
      <c r="AG54" s="162"/>
      <c r="AH54" s="162"/>
      <c r="AI54" s="162"/>
      <c r="AJ54" s="162"/>
      <c r="AK54" s="162"/>
      <c r="AL54" s="162"/>
      <c r="AM54" s="162"/>
      <c r="AN54" s="170"/>
      <c r="AO54" s="162"/>
      <c r="AP54" s="161"/>
      <c r="AQ54" s="162"/>
      <c r="AR54" s="162"/>
      <c r="AS54" s="162"/>
      <c r="AT54" s="162"/>
      <c r="AU54" s="162"/>
      <c r="AV54" s="162"/>
      <c r="AW54" s="162"/>
      <c r="AX54" s="163"/>
      <c r="AY54" s="162"/>
      <c r="AZ54" s="161"/>
      <c r="BA54" s="162"/>
      <c r="BB54" s="162"/>
      <c r="BC54" s="162"/>
      <c r="BD54" s="162"/>
      <c r="BE54" s="162"/>
      <c r="BF54" s="162"/>
      <c r="BG54" s="162"/>
      <c r="BH54" s="163"/>
      <c r="BI54" s="162"/>
      <c r="BJ54" s="161"/>
      <c r="BK54" s="162"/>
      <c r="BL54" s="162"/>
      <c r="BM54" s="162"/>
      <c r="BN54" s="162"/>
      <c r="BO54" s="162"/>
      <c r="BP54" s="162"/>
      <c r="BQ54" s="162"/>
      <c r="BR54" s="163"/>
    </row>
    <row r="55" spans="2:70" s="156" customFormat="1" ht="9" customHeight="1" x14ac:dyDescent="0.25">
      <c r="B55" s="158"/>
      <c r="C55" s="157"/>
      <c r="D55" s="157"/>
      <c r="E55" s="157"/>
      <c r="F55" s="157"/>
      <c r="G55" s="157"/>
      <c r="H55" s="157"/>
      <c r="I55" s="157"/>
      <c r="J55" s="159"/>
      <c r="K55" s="157"/>
      <c r="L55" s="158"/>
      <c r="M55" s="157"/>
      <c r="N55" s="157"/>
      <c r="O55" s="157"/>
      <c r="P55" s="157"/>
      <c r="Q55" s="149"/>
      <c r="R55" s="149"/>
      <c r="S55" s="149"/>
      <c r="T55" s="149"/>
      <c r="U55" s="133"/>
      <c r="V55" s="149"/>
      <c r="W55" s="149"/>
      <c r="X55" s="149"/>
      <c r="Y55" s="149"/>
      <c r="Z55" s="149"/>
      <c r="AA55" s="149"/>
      <c r="AB55" s="149"/>
      <c r="AC55" s="149"/>
      <c r="AD55" s="181"/>
      <c r="AE55" s="157"/>
      <c r="AF55" s="172"/>
      <c r="AG55" s="157"/>
      <c r="AH55" s="157"/>
      <c r="AI55" s="157"/>
      <c r="AJ55" s="157"/>
      <c r="AK55" s="157"/>
      <c r="AL55" s="157"/>
      <c r="AM55" s="157"/>
      <c r="AN55" s="173"/>
      <c r="AO55" s="157"/>
      <c r="AP55" s="158"/>
      <c r="AQ55" s="157"/>
      <c r="AR55" s="157"/>
      <c r="AS55" s="157"/>
      <c r="AT55" s="157"/>
      <c r="AU55" s="157"/>
      <c r="AV55" s="157"/>
      <c r="AW55" s="157"/>
      <c r="AX55" s="159"/>
      <c r="AY55" s="157"/>
      <c r="AZ55" s="158"/>
      <c r="BA55" s="157"/>
      <c r="BB55" s="157"/>
      <c r="BC55" s="157"/>
      <c r="BD55" s="157"/>
      <c r="BE55" s="157"/>
      <c r="BF55" s="157"/>
      <c r="BG55" s="157"/>
      <c r="BH55" s="159"/>
      <c r="BI55" s="157"/>
      <c r="BJ55" s="158"/>
      <c r="BK55" s="157"/>
      <c r="BL55" s="157"/>
      <c r="BM55" s="157"/>
      <c r="BN55" s="157"/>
      <c r="BO55" s="157"/>
      <c r="BP55" s="157"/>
      <c r="BQ55" s="157"/>
      <c r="BR55" s="159"/>
    </row>
    <row r="56" spans="2:70" s="156" customFormat="1" ht="9" customHeight="1" x14ac:dyDescent="0.25">
      <c r="B56" s="158"/>
      <c r="C56" s="157"/>
      <c r="D56" s="157"/>
      <c r="E56" s="157"/>
      <c r="F56" s="157"/>
      <c r="G56" s="157"/>
      <c r="H56" s="157"/>
      <c r="I56" s="157"/>
      <c r="J56" s="159"/>
      <c r="K56" s="157"/>
      <c r="L56" s="158"/>
      <c r="M56" s="157"/>
      <c r="N56" s="157"/>
      <c r="O56" s="157"/>
      <c r="P56" s="157"/>
      <c r="Q56" s="149"/>
      <c r="R56" s="149"/>
      <c r="S56" s="149"/>
      <c r="T56" s="149"/>
      <c r="U56" s="133"/>
      <c r="V56" s="149"/>
      <c r="W56" s="149"/>
      <c r="X56" s="149"/>
      <c r="Y56" s="149"/>
      <c r="Z56" s="149"/>
      <c r="AA56" s="149"/>
      <c r="AB56" s="149"/>
      <c r="AC56" s="149"/>
      <c r="AD56" s="181"/>
      <c r="AE56" s="157"/>
      <c r="AF56" s="172"/>
      <c r="AG56" s="157"/>
      <c r="AH56" s="157"/>
      <c r="AI56" s="157"/>
      <c r="AJ56" s="157"/>
      <c r="AK56" s="157"/>
      <c r="AL56" s="157"/>
      <c r="AM56" s="157"/>
      <c r="AN56" s="173"/>
      <c r="AO56" s="157"/>
      <c r="AP56" s="158"/>
      <c r="AQ56" s="157"/>
      <c r="AR56" s="157"/>
      <c r="AS56" s="157"/>
      <c r="AT56" s="157"/>
      <c r="AU56" s="157"/>
      <c r="AV56" s="157"/>
      <c r="AW56" s="157"/>
      <c r="AX56" s="159"/>
      <c r="AY56" s="157"/>
      <c r="AZ56" s="158"/>
      <c r="BA56" s="157"/>
      <c r="BB56" s="157"/>
      <c r="BC56" s="157"/>
      <c r="BD56" s="157"/>
      <c r="BE56" s="157"/>
      <c r="BF56" s="157"/>
      <c r="BG56" s="157"/>
      <c r="BH56" s="159"/>
      <c r="BI56" s="157"/>
      <c r="BJ56" s="158"/>
      <c r="BK56" s="157"/>
      <c r="BL56" s="157"/>
      <c r="BM56" s="157"/>
      <c r="BN56" s="157"/>
      <c r="BO56" s="157"/>
      <c r="BP56" s="157"/>
      <c r="BQ56" s="157"/>
      <c r="BR56" s="159"/>
    </row>
    <row r="57" spans="2:70" s="156" customFormat="1" ht="9" customHeight="1" x14ac:dyDescent="0.25">
      <c r="B57" s="158"/>
      <c r="C57" s="157"/>
      <c r="D57" s="157"/>
      <c r="E57" s="157"/>
      <c r="F57" s="157"/>
      <c r="G57" s="157"/>
      <c r="H57" s="157"/>
      <c r="I57" s="157"/>
      <c r="J57" s="159"/>
      <c r="K57" s="157"/>
      <c r="L57" s="158"/>
      <c r="M57" s="157"/>
      <c r="N57" s="157"/>
      <c r="O57" s="157"/>
      <c r="P57" s="157"/>
      <c r="Q57" s="149"/>
      <c r="R57" s="149"/>
      <c r="S57" s="149"/>
      <c r="T57" s="149"/>
      <c r="U57" s="133"/>
      <c r="V57" s="149"/>
      <c r="W57" s="149"/>
      <c r="X57" s="149"/>
      <c r="Y57" s="149"/>
      <c r="Z57" s="149"/>
      <c r="AA57" s="149"/>
      <c r="AB57" s="149"/>
      <c r="AC57" s="149"/>
      <c r="AD57" s="181"/>
      <c r="AE57" s="157"/>
      <c r="AF57" s="172"/>
      <c r="AG57" s="157"/>
      <c r="AH57" s="157"/>
      <c r="AI57" s="157"/>
      <c r="AJ57" s="157"/>
      <c r="AK57" s="157"/>
      <c r="AL57" s="157"/>
      <c r="AM57" s="157"/>
      <c r="AN57" s="173"/>
      <c r="AO57" s="157"/>
      <c r="AP57" s="158"/>
      <c r="AQ57" s="157"/>
      <c r="AR57" s="157"/>
      <c r="AS57" s="157"/>
      <c r="AT57" s="157"/>
      <c r="AU57" s="157"/>
      <c r="AV57" s="157"/>
      <c r="AW57" s="157"/>
      <c r="AX57" s="159"/>
      <c r="AY57" s="157"/>
      <c r="AZ57" s="158"/>
      <c r="BA57" s="157"/>
      <c r="BB57" s="157"/>
      <c r="BC57" s="157"/>
      <c r="BD57" s="157"/>
      <c r="BE57" s="157"/>
      <c r="BF57" s="157"/>
      <c r="BG57" s="157"/>
      <c r="BH57" s="159"/>
      <c r="BI57" s="157"/>
      <c r="BJ57" s="158"/>
      <c r="BK57" s="157"/>
      <c r="BL57" s="157"/>
      <c r="BM57" s="157"/>
      <c r="BN57" s="157"/>
      <c r="BO57" s="157"/>
      <c r="BP57" s="157"/>
      <c r="BQ57" s="157"/>
      <c r="BR57" s="159"/>
    </row>
    <row r="58" spans="2:70" s="174" customFormat="1" ht="9" customHeight="1" x14ac:dyDescent="0.25">
      <c r="B58" s="175"/>
      <c r="C58" s="150"/>
      <c r="D58" s="150"/>
      <c r="E58" s="150"/>
      <c r="F58" s="150"/>
      <c r="G58" s="150"/>
      <c r="H58" s="150"/>
      <c r="I58" s="150"/>
      <c r="J58" s="151"/>
      <c r="K58" s="150"/>
      <c r="L58" s="175"/>
      <c r="M58" s="150"/>
      <c r="N58" s="150"/>
      <c r="O58" s="150"/>
      <c r="P58" s="150"/>
      <c r="Q58" s="149"/>
      <c r="R58" s="149"/>
      <c r="S58" s="149"/>
      <c r="T58" s="149"/>
      <c r="U58" s="133"/>
      <c r="V58" s="149"/>
      <c r="W58" s="149"/>
      <c r="X58" s="149"/>
      <c r="Y58" s="149"/>
      <c r="Z58" s="149"/>
      <c r="AA58" s="149"/>
      <c r="AB58" s="149"/>
      <c r="AC58" s="149"/>
      <c r="AD58" s="181"/>
      <c r="AE58" s="150"/>
      <c r="AF58" s="177"/>
      <c r="AG58" s="150"/>
      <c r="AH58" s="150"/>
      <c r="AI58" s="150"/>
      <c r="AJ58" s="150"/>
      <c r="AK58" s="150"/>
      <c r="AL58" s="150"/>
      <c r="AM58" s="150"/>
      <c r="AN58" s="178"/>
      <c r="AO58" s="150"/>
      <c r="AP58" s="175"/>
      <c r="AQ58" s="150"/>
      <c r="AR58" s="150"/>
      <c r="AS58" s="150"/>
      <c r="AT58" s="150"/>
      <c r="AU58" s="150"/>
      <c r="AV58" s="150"/>
      <c r="AW58" s="150"/>
      <c r="AX58" s="151"/>
      <c r="AY58" s="150"/>
      <c r="AZ58" s="175"/>
      <c r="BA58" s="150"/>
      <c r="BB58" s="150"/>
      <c r="BC58" s="150"/>
      <c r="BD58" s="150"/>
      <c r="BE58" s="150"/>
      <c r="BF58" s="150"/>
      <c r="BG58" s="150"/>
      <c r="BH58" s="151"/>
      <c r="BI58" s="150"/>
      <c r="BJ58" s="175"/>
      <c r="BK58" s="150"/>
      <c r="BL58" s="150"/>
      <c r="BM58" s="150"/>
      <c r="BN58" s="150"/>
      <c r="BO58" s="150"/>
      <c r="BP58" s="150"/>
      <c r="BQ58" s="150"/>
      <c r="BR58" s="151"/>
    </row>
    <row r="59" spans="2:70" s="174" customFormat="1" ht="9" customHeight="1" x14ac:dyDescent="0.25">
      <c r="B59" s="175"/>
      <c r="C59" s="150"/>
      <c r="D59" s="150"/>
      <c r="E59" s="150"/>
      <c r="F59" s="150"/>
      <c r="G59" s="150"/>
      <c r="H59" s="150"/>
      <c r="I59" s="150"/>
      <c r="J59" s="151"/>
      <c r="K59" s="150"/>
      <c r="L59" s="175"/>
      <c r="M59" s="150"/>
      <c r="N59" s="150"/>
      <c r="O59" s="150"/>
      <c r="P59" s="150"/>
      <c r="Q59" s="149"/>
      <c r="R59" s="149"/>
      <c r="S59" s="149"/>
      <c r="T59" s="149"/>
      <c r="U59" s="133"/>
      <c r="V59" s="149"/>
      <c r="W59" s="149"/>
      <c r="X59" s="149"/>
      <c r="Y59" s="149"/>
      <c r="Z59" s="149"/>
      <c r="AA59" s="149"/>
      <c r="AB59" s="149"/>
      <c r="AC59" s="149"/>
      <c r="AD59" s="181"/>
      <c r="AE59" s="150"/>
      <c r="AF59" s="177"/>
      <c r="AG59" s="150"/>
      <c r="AH59" s="150"/>
      <c r="AI59" s="150"/>
      <c r="AJ59" s="150"/>
      <c r="AK59" s="150"/>
      <c r="AL59" s="150"/>
      <c r="AM59" s="150"/>
      <c r="AN59" s="178"/>
      <c r="AO59" s="150"/>
      <c r="AP59" s="175"/>
      <c r="AQ59" s="150"/>
      <c r="AR59" s="150"/>
      <c r="AS59" s="150"/>
      <c r="AT59" s="150"/>
      <c r="AU59" s="150"/>
      <c r="AV59" s="150"/>
      <c r="AW59" s="150"/>
      <c r="AX59" s="151"/>
      <c r="AY59" s="150"/>
      <c r="AZ59" s="175"/>
      <c r="BA59" s="150"/>
      <c r="BB59" s="150"/>
      <c r="BC59" s="150"/>
      <c r="BD59" s="150"/>
      <c r="BE59" s="150"/>
      <c r="BF59" s="150"/>
      <c r="BG59" s="150"/>
      <c r="BH59" s="151"/>
      <c r="BI59" s="150"/>
      <c r="BJ59" s="175"/>
      <c r="BK59" s="150"/>
      <c r="BL59" s="150"/>
      <c r="BM59" s="150"/>
      <c r="BN59" s="150"/>
      <c r="BO59" s="150"/>
      <c r="BP59" s="150"/>
      <c r="BQ59" s="150"/>
      <c r="BR59" s="151"/>
    </row>
    <row r="60" spans="2:70" s="174" customFormat="1" ht="9" customHeight="1" x14ac:dyDescent="0.25">
      <c r="B60" s="175"/>
      <c r="C60" s="150"/>
      <c r="D60" s="150"/>
      <c r="E60" s="150"/>
      <c r="F60" s="150"/>
      <c r="G60" s="150"/>
      <c r="H60" s="150"/>
      <c r="I60" s="150"/>
      <c r="J60" s="151"/>
      <c r="K60" s="150"/>
      <c r="L60" s="175"/>
      <c r="M60" s="150"/>
      <c r="N60" s="150"/>
      <c r="O60" s="150"/>
      <c r="P60" s="150"/>
      <c r="Q60" s="149"/>
      <c r="R60" s="149"/>
      <c r="S60" s="149"/>
      <c r="T60" s="149"/>
      <c r="U60" s="133"/>
      <c r="V60" s="149"/>
      <c r="W60" s="149"/>
      <c r="X60" s="149"/>
      <c r="Y60" s="149"/>
      <c r="Z60" s="149"/>
      <c r="AA60" s="149"/>
      <c r="AB60" s="149"/>
      <c r="AC60" s="149"/>
      <c r="AD60" s="181"/>
      <c r="AE60" s="150"/>
      <c r="AF60" s="177"/>
      <c r="AG60" s="150"/>
      <c r="AH60" s="150"/>
      <c r="AI60" s="150"/>
      <c r="AJ60" s="150"/>
      <c r="AK60" s="150"/>
      <c r="AL60" s="150"/>
      <c r="AM60" s="150"/>
      <c r="AN60" s="178"/>
      <c r="AO60" s="150"/>
      <c r="AP60" s="175"/>
      <c r="AQ60" s="150"/>
      <c r="AR60" s="150"/>
      <c r="AS60" s="150"/>
      <c r="AT60" s="150"/>
      <c r="AU60" s="150"/>
      <c r="AV60" s="150"/>
      <c r="AW60" s="150"/>
      <c r="AX60" s="151"/>
      <c r="AY60" s="150"/>
      <c r="AZ60" s="175"/>
      <c r="BA60" s="150"/>
      <c r="BB60" s="150"/>
      <c r="BC60" s="150"/>
      <c r="BD60" s="150"/>
      <c r="BE60" s="150"/>
      <c r="BF60" s="150"/>
      <c r="BG60" s="150"/>
      <c r="BH60" s="151"/>
      <c r="BI60" s="150"/>
      <c r="BJ60" s="175"/>
      <c r="BK60" s="150"/>
      <c r="BL60" s="150"/>
      <c r="BM60" s="150"/>
      <c r="BN60" s="150"/>
      <c r="BO60" s="150"/>
      <c r="BP60" s="150"/>
      <c r="BQ60" s="150"/>
      <c r="BR60" s="151"/>
    </row>
    <row r="61" spans="2:70" s="174" customFormat="1" ht="9" customHeight="1" x14ac:dyDescent="0.25">
      <c r="B61" s="175"/>
      <c r="C61" s="150"/>
      <c r="D61" s="150"/>
      <c r="E61" s="150"/>
      <c r="F61" s="150"/>
      <c r="G61" s="150"/>
      <c r="H61" s="150"/>
      <c r="I61" s="150"/>
      <c r="J61" s="151"/>
      <c r="K61" s="150"/>
      <c r="L61" s="175" t="s">
        <v>421</v>
      </c>
      <c r="M61" s="150"/>
      <c r="N61" s="150"/>
      <c r="O61" s="150"/>
      <c r="P61" s="150"/>
      <c r="Q61" s="149"/>
      <c r="R61" s="149"/>
      <c r="S61" s="149"/>
      <c r="T61" s="149"/>
      <c r="U61" s="133"/>
      <c r="V61" s="149" t="s">
        <v>421</v>
      </c>
      <c r="W61" s="149"/>
      <c r="X61" s="149"/>
      <c r="Y61" s="149"/>
      <c r="Z61" s="149"/>
      <c r="AA61" s="149"/>
      <c r="AB61" s="149"/>
      <c r="AC61" s="149"/>
      <c r="AD61" s="181"/>
      <c r="AE61" s="150"/>
      <c r="AF61" s="177"/>
      <c r="AG61" s="150"/>
      <c r="AH61" s="150"/>
      <c r="AI61" s="150"/>
      <c r="AJ61" s="150"/>
      <c r="AK61" s="150"/>
      <c r="AL61" s="150"/>
      <c r="AM61" s="150"/>
      <c r="AN61" s="178"/>
      <c r="AO61" s="150"/>
      <c r="AP61" s="175"/>
      <c r="AQ61" s="150"/>
      <c r="AR61" s="150"/>
      <c r="AS61" s="150"/>
      <c r="AT61" s="150"/>
      <c r="AU61" s="150"/>
      <c r="AV61" s="150"/>
      <c r="AW61" s="150"/>
      <c r="AX61" s="151"/>
      <c r="AY61" s="150"/>
      <c r="AZ61" s="175"/>
      <c r="BA61" s="150"/>
      <c r="BB61" s="150"/>
      <c r="BC61" s="150"/>
      <c r="BD61" s="150"/>
      <c r="BE61" s="150"/>
      <c r="BF61" s="150"/>
      <c r="BG61" s="150"/>
      <c r="BH61" s="151"/>
      <c r="BI61" s="150"/>
      <c r="BJ61" s="175"/>
      <c r="BK61" s="150"/>
      <c r="BL61" s="150"/>
      <c r="BM61" s="150"/>
      <c r="BN61" s="150"/>
      <c r="BO61" s="150"/>
      <c r="BP61" s="150"/>
      <c r="BQ61" s="150"/>
      <c r="BR61" s="151"/>
    </row>
    <row r="62" spans="2:70" s="156" customFormat="1" ht="9" customHeight="1" x14ac:dyDescent="0.25">
      <c r="B62" s="491" t="s">
        <v>422</v>
      </c>
      <c r="C62" s="491"/>
      <c r="D62" s="491"/>
      <c r="E62" s="491"/>
      <c r="F62" s="491"/>
      <c r="G62" s="492">
        <f>CEILING(2767*A3,1)</f>
        <v>5258</v>
      </c>
      <c r="H62" s="492"/>
      <c r="I62" s="492"/>
      <c r="J62" s="492"/>
      <c r="K62" s="129"/>
      <c r="L62" s="152"/>
      <c r="M62" s="134"/>
      <c r="N62" s="134"/>
      <c r="O62" s="134"/>
      <c r="P62" s="134"/>
      <c r="Q62" s="184"/>
      <c r="R62" s="184"/>
      <c r="S62" s="184"/>
      <c r="T62" s="184"/>
      <c r="U62" s="133"/>
      <c r="V62" s="185" t="s">
        <v>423</v>
      </c>
      <c r="W62" s="184"/>
      <c r="X62" s="184"/>
      <c r="Y62" s="184"/>
      <c r="Z62" s="184"/>
      <c r="AA62" s="184"/>
      <c r="AB62" s="184"/>
      <c r="AC62" s="184"/>
      <c r="AD62" s="186"/>
      <c r="AE62" s="129"/>
      <c r="AF62" s="491" t="s">
        <v>424</v>
      </c>
      <c r="AG62" s="491"/>
      <c r="AH62" s="491"/>
      <c r="AI62" s="491"/>
      <c r="AJ62" s="491"/>
      <c r="AK62" s="492">
        <f>CEILING(1584*A3,1)</f>
        <v>3010</v>
      </c>
      <c r="AL62" s="492"/>
      <c r="AM62" s="492"/>
      <c r="AN62" s="492"/>
      <c r="AO62" s="126"/>
      <c r="AP62" s="491" t="s">
        <v>424</v>
      </c>
      <c r="AQ62" s="491"/>
      <c r="AR62" s="491"/>
      <c r="AS62" s="491"/>
      <c r="AT62" s="491"/>
      <c r="AU62" s="492">
        <f>CEILING(2105*A3,1)</f>
        <v>4000</v>
      </c>
      <c r="AV62" s="492"/>
      <c r="AW62" s="492"/>
      <c r="AX62" s="492"/>
      <c r="AY62" s="129"/>
      <c r="AZ62" s="128"/>
      <c r="BA62" s="129"/>
      <c r="BB62" s="129"/>
      <c r="BC62" s="129"/>
      <c r="BD62" s="129"/>
      <c r="BE62" s="129"/>
      <c r="BF62" s="129"/>
      <c r="BG62" s="129"/>
      <c r="BH62" s="130"/>
      <c r="BI62" s="129"/>
      <c r="BJ62" s="128"/>
      <c r="BK62" s="129"/>
      <c r="BL62" s="129"/>
      <c r="BM62" s="129"/>
      <c r="BN62" s="129"/>
      <c r="BO62" s="129"/>
      <c r="BP62" s="129"/>
      <c r="BQ62" s="129"/>
      <c r="BR62" s="130"/>
    </row>
    <row r="63" spans="2:70" s="156" customFormat="1" ht="9" customHeight="1" x14ac:dyDescent="0.25">
      <c r="B63" s="491" t="s">
        <v>425</v>
      </c>
      <c r="C63" s="491"/>
      <c r="D63" s="491"/>
      <c r="E63" s="491"/>
      <c r="F63" s="491"/>
      <c r="G63" s="492">
        <f>CEILING(2990*A3,1)</f>
        <v>5681</v>
      </c>
      <c r="H63" s="492"/>
      <c r="I63" s="492"/>
      <c r="J63" s="492"/>
      <c r="K63" s="139"/>
      <c r="L63" s="509" t="s">
        <v>426</v>
      </c>
      <c r="M63" s="510"/>
      <c r="N63" s="510"/>
      <c r="O63" s="510"/>
      <c r="P63" s="510"/>
      <c r="Q63" s="492">
        <f>CEILING(2830*A3,1)</f>
        <v>5377</v>
      </c>
      <c r="R63" s="492"/>
      <c r="S63" s="492"/>
      <c r="T63" s="492"/>
      <c r="U63" s="133"/>
      <c r="V63" s="529" t="s">
        <v>427</v>
      </c>
      <c r="W63" s="530"/>
      <c r="X63" s="530"/>
      <c r="Y63" s="530"/>
      <c r="Z63" s="530"/>
      <c r="AA63" s="530"/>
      <c r="AB63" s="530"/>
      <c r="AC63" s="530"/>
      <c r="AD63" s="531"/>
      <c r="AE63" s="126"/>
      <c r="AF63" s="491" t="s">
        <v>428</v>
      </c>
      <c r="AG63" s="491"/>
      <c r="AH63" s="491"/>
      <c r="AI63" s="491"/>
      <c r="AJ63" s="491"/>
      <c r="AK63" s="492">
        <f>CEILING(1906*A3,1)</f>
        <v>3622</v>
      </c>
      <c r="AL63" s="492"/>
      <c r="AM63" s="492"/>
      <c r="AN63" s="492"/>
      <c r="AO63" s="126"/>
      <c r="AP63" s="491" t="s">
        <v>428</v>
      </c>
      <c r="AQ63" s="491"/>
      <c r="AR63" s="491"/>
      <c r="AS63" s="491"/>
      <c r="AT63" s="491"/>
      <c r="AU63" s="492">
        <f>CEILING(2318*A3,1)</f>
        <v>4405</v>
      </c>
      <c r="AV63" s="492"/>
      <c r="AW63" s="492"/>
      <c r="AX63" s="492"/>
      <c r="AY63" s="129"/>
      <c r="AZ63" s="152"/>
      <c r="BA63" s="134"/>
      <c r="BB63" s="134"/>
      <c r="BC63" s="134"/>
      <c r="BD63" s="134"/>
      <c r="BE63" s="134"/>
      <c r="BF63" s="134"/>
      <c r="BG63" s="134"/>
      <c r="BH63" s="135"/>
      <c r="BI63" s="129"/>
      <c r="BJ63" s="152"/>
      <c r="BK63" s="134"/>
      <c r="BL63" s="134"/>
      <c r="BM63" s="134"/>
      <c r="BN63" s="134"/>
      <c r="BO63" s="134"/>
      <c r="BP63" s="134"/>
      <c r="BQ63" s="134"/>
      <c r="BR63" s="135"/>
    </row>
    <row r="64" spans="2:70" s="156" customFormat="1" ht="9" customHeight="1" x14ac:dyDescent="0.25">
      <c r="B64" s="491" t="s">
        <v>429</v>
      </c>
      <c r="C64" s="491"/>
      <c r="D64" s="491"/>
      <c r="E64" s="491"/>
      <c r="F64" s="491"/>
      <c r="G64" s="492">
        <f>CEILING(3132*A3,1)</f>
        <v>5951</v>
      </c>
      <c r="H64" s="492"/>
      <c r="I64" s="492"/>
      <c r="J64" s="492"/>
      <c r="K64" s="126"/>
      <c r="L64" s="509" t="s">
        <v>430</v>
      </c>
      <c r="M64" s="510"/>
      <c r="N64" s="510"/>
      <c r="O64" s="510"/>
      <c r="P64" s="510"/>
      <c r="Q64" s="492">
        <f>CEILING(3135*A3,1)</f>
        <v>5957</v>
      </c>
      <c r="R64" s="492"/>
      <c r="S64" s="492"/>
      <c r="T64" s="492"/>
      <c r="U64" s="126"/>
      <c r="V64" s="529" t="s">
        <v>431</v>
      </c>
      <c r="W64" s="530"/>
      <c r="X64" s="530"/>
      <c r="Y64" s="530"/>
      <c r="Z64" s="530"/>
      <c r="AA64" s="530"/>
      <c r="AB64" s="530"/>
      <c r="AC64" s="530"/>
      <c r="AD64" s="531"/>
      <c r="AE64" s="126"/>
      <c r="AF64" s="491" t="s">
        <v>121</v>
      </c>
      <c r="AG64" s="491"/>
      <c r="AH64" s="491"/>
      <c r="AI64" s="491"/>
      <c r="AJ64" s="491"/>
      <c r="AK64" s="492">
        <f>CEILING(2272*A3,1)</f>
        <v>4317</v>
      </c>
      <c r="AL64" s="492"/>
      <c r="AM64" s="492"/>
      <c r="AN64" s="492"/>
      <c r="AO64" s="126"/>
      <c r="AP64" s="491" t="s">
        <v>121</v>
      </c>
      <c r="AQ64" s="491"/>
      <c r="AR64" s="491"/>
      <c r="AS64" s="491"/>
      <c r="AT64" s="491"/>
      <c r="AU64" s="492">
        <f>CEILING(2540*A3,1)</f>
        <v>4826</v>
      </c>
      <c r="AV64" s="492"/>
      <c r="AW64" s="492"/>
      <c r="AX64" s="492"/>
      <c r="AY64" s="153"/>
      <c r="AZ64" s="492" t="s">
        <v>432</v>
      </c>
      <c r="BA64" s="492"/>
      <c r="BB64" s="492"/>
      <c r="BC64" s="492"/>
      <c r="BD64" s="492"/>
      <c r="BE64" s="492">
        <f>CEILING(2441*A3,1)</f>
        <v>4638</v>
      </c>
      <c r="BF64" s="492"/>
      <c r="BG64" s="492"/>
      <c r="BH64" s="492"/>
      <c r="BI64" s="126"/>
      <c r="BJ64" s="509" t="s">
        <v>433</v>
      </c>
      <c r="BK64" s="509"/>
      <c r="BL64" s="509"/>
      <c r="BM64" s="492"/>
      <c r="BN64" s="509"/>
      <c r="BO64" s="126">
        <f>CEILING(1751*A3,1)</f>
        <v>3327</v>
      </c>
      <c r="BP64" s="509"/>
      <c r="BQ64" s="510"/>
      <c r="BR64" s="511"/>
    </row>
    <row r="65" spans="2:70" s="156" customFormat="1" ht="1.5" customHeight="1" x14ac:dyDescent="0.25">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row>
    <row r="66" spans="2:70" s="156" customFormat="1" ht="9" customHeight="1" x14ac:dyDescent="0.25">
      <c r="B66" s="482" t="s">
        <v>434</v>
      </c>
      <c r="C66" s="483"/>
      <c r="D66" s="484"/>
      <c r="E66" s="504" t="s">
        <v>165</v>
      </c>
      <c r="F66" s="504"/>
      <c r="G66" s="504"/>
      <c r="H66" s="504"/>
      <c r="I66" s="504"/>
      <c r="J66" s="505"/>
      <c r="K66" s="157"/>
      <c r="L66" s="482" t="s">
        <v>435</v>
      </c>
      <c r="M66" s="483"/>
      <c r="N66" s="484"/>
      <c r="O66" s="504" t="s">
        <v>165</v>
      </c>
      <c r="P66" s="504"/>
      <c r="Q66" s="504"/>
      <c r="R66" s="504"/>
      <c r="S66" s="504"/>
      <c r="T66" s="505"/>
      <c r="U66" s="157"/>
      <c r="V66" s="482" t="s">
        <v>436</v>
      </c>
      <c r="W66" s="483"/>
      <c r="X66" s="484"/>
      <c r="Y66" s="504" t="s">
        <v>165</v>
      </c>
      <c r="Z66" s="504"/>
      <c r="AA66" s="504"/>
      <c r="AB66" s="504"/>
      <c r="AC66" s="504"/>
      <c r="AD66" s="505"/>
      <c r="AE66" s="157"/>
      <c r="AF66" s="482" t="s">
        <v>437</v>
      </c>
      <c r="AG66" s="483"/>
      <c r="AH66" s="484"/>
      <c r="AI66" s="504" t="s">
        <v>165</v>
      </c>
      <c r="AJ66" s="504"/>
      <c r="AK66" s="504"/>
      <c r="AL66" s="504"/>
      <c r="AM66" s="504"/>
      <c r="AN66" s="505"/>
      <c r="AO66" s="157"/>
      <c r="AP66" s="482" t="s">
        <v>438</v>
      </c>
      <c r="AQ66" s="483"/>
      <c r="AR66" s="484"/>
      <c r="AS66" s="504" t="s">
        <v>165</v>
      </c>
      <c r="AT66" s="504"/>
      <c r="AU66" s="504"/>
      <c r="AV66" s="504"/>
      <c r="AW66" s="504"/>
      <c r="AX66" s="505"/>
      <c r="AY66" s="157"/>
      <c r="AZ66" s="482" t="s">
        <v>439</v>
      </c>
      <c r="BA66" s="483"/>
      <c r="BB66" s="484"/>
      <c r="BC66" s="486" t="s">
        <v>440</v>
      </c>
      <c r="BD66" s="486"/>
      <c r="BE66" s="486"/>
      <c r="BF66" s="486"/>
      <c r="BG66" s="486"/>
      <c r="BH66" s="487"/>
      <c r="BI66" s="150"/>
      <c r="BJ66" s="482" t="s">
        <v>441</v>
      </c>
      <c r="BK66" s="483"/>
      <c r="BL66" s="484"/>
      <c r="BM66" s="486" t="s">
        <v>442</v>
      </c>
      <c r="BN66" s="485"/>
      <c r="BO66" s="486"/>
      <c r="BP66" s="486"/>
      <c r="BQ66" s="486"/>
      <c r="BR66" s="487"/>
    </row>
    <row r="67" spans="2:70" s="156" customFormat="1" ht="9" customHeight="1" x14ac:dyDescent="0.25">
      <c r="B67" s="488" t="s">
        <v>443</v>
      </c>
      <c r="C67" s="489"/>
      <c r="D67" s="489"/>
      <c r="E67" s="489"/>
      <c r="F67" s="489"/>
      <c r="G67" s="489"/>
      <c r="H67" s="489"/>
      <c r="I67" s="489"/>
      <c r="J67" s="490"/>
      <c r="K67" s="162"/>
      <c r="L67" s="488" t="s">
        <v>443</v>
      </c>
      <c r="M67" s="489"/>
      <c r="N67" s="489"/>
      <c r="O67" s="489"/>
      <c r="P67" s="489"/>
      <c r="Q67" s="489"/>
      <c r="R67" s="489"/>
      <c r="S67" s="489"/>
      <c r="T67" s="490"/>
      <c r="U67" s="162"/>
      <c r="V67" s="488" t="s">
        <v>443</v>
      </c>
      <c r="W67" s="489"/>
      <c r="X67" s="489"/>
      <c r="Y67" s="489"/>
      <c r="Z67" s="489"/>
      <c r="AA67" s="489"/>
      <c r="AB67" s="489"/>
      <c r="AC67" s="489"/>
      <c r="AD67" s="490"/>
      <c r="AE67" s="162"/>
      <c r="AF67" s="488" t="s">
        <v>443</v>
      </c>
      <c r="AG67" s="489"/>
      <c r="AH67" s="489"/>
      <c r="AI67" s="489"/>
      <c r="AJ67" s="489"/>
      <c r="AK67" s="489"/>
      <c r="AL67" s="489"/>
      <c r="AM67" s="489"/>
      <c r="AN67" s="490"/>
      <c r="AO67" s="162"/>
      <c r="AP67" s="488" t="s">
        <v>443</v>
      </c>
      <c r="AQ67" s="489"/>
      <c r="AR67" s="489"/>
      <c r="AS67" s="489"/>
      <c r="AT67" s="489"/>
      <c r="AU67" s="489"/>
      <c r="AV67" s="489"/>
      <c r="AW67" s="489"/>
      <c r="AX67" s="490"/>
      <c r="AY67" s="157"/>
      <c r="AZ67" s="187"/>
      <c r="BA67" s="149"/>
      <c r="BB67" s="149"/>
      <c r="BC67" s="149"/>
      <c r="BD67" s="149"/>
      <c r="BE67" s="149"/>
      <c r="BF67" s="149"/>
      <c r="BG67" s="149"/>
      <c r="BH67" s="181"/>
      <c r="BI67" s="150"/>
      <c r="BJ67" s="187"/>
      <c r="BK67" s="149"/>
      <c r="BL67" s="149"/>
      <c r="BM67" s="149"/>
      <c r="BN67" s="149"/>
      <c r="BO67" s="149"/>
      <c r="BP67" s="149"/>
      <c r="BQ67" s="149"/>
      <c r="BR67" s="181"/>
    </row>
    <row r="68" spans="2:70" s="156" customFormat="1" ht="9" customHeight="1" x14ac:dyDescent="0.25">
      <c r="B68" s="488" t="s">
        <v>444</v>
      </c>
      <c r="C68" s="489"/>
      <c r="D68" s="489"/>
      <c r="E68" s="489"/>
      <c r="F68" s="489"/>
      <c r="G68" s="489"/>
      <c r="H68" s="489"/>
      <c r="I68" s="489"/>
      <c r="J68" s="490"/>
      <c r="K68" s="162"/>
      <c r="L68" s="488" t="s">
        <v>445</v>
      </c>
      <c r="M68" s="489"/>
      <c r="N68" s="489"/>
      <c r="O68" s="489"/>
      <c r="P68" s="489"/>
      <c r="Q68" s="489"/>
      <c r="R68" s="489"/>
      <c r="S68" s="489"/>
      <c r="T68" s="490"/>
      <c r="U68" s="162"/>
      <c r="V68" s="488" t="s">
        <v>446</v>
      </c>
      <c r="W68" s="489"/>
      <c r="X68" s="489"/>
      <c r="Y68" s="489"/>
      <c r="Z68" s="489"/>
      <c r="AA68" s="489"/>
      <c r="AB68" s="489"/>
      <c r="AC68" s="489"/>
      <c r="AD68" s="490"/>
      <c r="AE68" s="162"/>
      <c r="AF68" s="488" t="s">
        <v>446</v>
      </c>
      <c r="AG68" s="489"/>
      <c r="AH68" s="489"/>
      <c r="AI68" s="489"/>
      <c r="AJ68" s="489"/>
      <c r="AK68" s="489"/>
      <c r="AL68" s="489"/>
      <c r="AM68" s="489"/>
      <c r="AN68" s="490"/>
      <c r="AO68" s="162"/>
      <c r="AP68" s="488" t="s">
        <v>447</v>
      </c>
      <c r="AQ68" s="489"/>
      <c r="AR68" s="489"/>
      <c r="AS68" s="489"/>
      <c r="AT68" s="489"/>
      <c r="AU68" s="489"/>
      <c r="AV68" s="489"/>
      <c r="AW68" s="489"/>
      <c r="AX68" s="490"/>
      <c r="AY68" s="157"/>
      <c r="AZ68" s="187"/>
      <c r="BA68" s="149"/>
      <c r="BB68" s="149"/>
      <c r="BC68" s="162"/>
      <c r="BD68" s="162"/>
      <c r="BE68" s="162"/>
      <c r="BF68" s="162"/>
      <c r="BG68" s="162"/>
      <c r="BH68" s="163"/>
      <c r="BI68" s="150"/>
      <c r="BJ68" s="187"/>
      <c r="BK68" s="149"/>
      <c r="BL68" s="149"/>
      <c r="BM68" s="162"/>
      <c r="BN68" s="162"/>
      <c r="BO68" s="162"/>
      <c r="BP68" s="162"/>
      <c r="BQ68" s="162"/>
      <c r="BR68" s="163"/>
    </row>
    <row r="69" spans="2:70" s="156" customFormat="1" ht="9" customHeight="1" x14ac:dyDescent="0.25">
      <c r="B69" s="161"/>
      <c r="C69" s="162"/>
      <c r="D69" s="162"/>
      <c r="E69" s="162"/>
      <c r="F69" s="162"/>
      <c r="G69" s="162"/>
      <c r="H69" s="162"/>
      <c r="I69" s="162"/>
      <c r="J69" s="163"/>
      <c r="K69" s="162"/>
      <c r="L69" s="161"/>
      <c r="M69" s="162"/>
      <c r="N69" s="162"/>
      <c r="O69" s="162"/>
      <c r="P69" s="162"/>
      <c r="Q69" s="162"/>
      <c r="R69" s="162"/>
      <c r="S69" s="162"/>
      <c r="T69" s="163"/>
      <c r="U69" s="162"/>
      <c r="V69" s="488" t="s">
        <v>448</v>
      </c>
      <c r="W69" s="489"/>
      <c r="X69" s="489"/>
      <c r="Y69" s="489"/>
      <c r="Z69" s="489"/>
      <c r="AA69" s="489"/>
      <c r="AB69" s="489"/>
      <c r="AC69" s="489"/>
      <c r="AD69" s="490"/>
      <c r="AE69" s="162"/>
      <c r="AF69" s="488" t="s">
        <v>449</v>
      </c>
      <c r="AG69" s="489"/>
      <c r="AH69" s="489"/>
      <c r="AI69" s="489"/>
      <c r="AJ69" s="489"/>
      <c r="AK69" s="489"/>
      <c r="AL69" s="489"/>
      <c r="AM69" s="489"/>
      <c r="AN69" s="490"/>
      <c r="AO69" s="162"/>
      <c r="AP69" s="488" t="s">
        <v>450</v>
      </c>
      <c r="AQ69" s="489"/>
      <c r="AR69" s="489"/>
      <c r="AS69" s="489"/>
      <c r="AT69" s="489"/>
      <c r="AU69" s="489"/>
      <c r="AV69" s="489"/>
      <c r="AW69" s="489"/>
      <c r="AX69" s="490"/>
      <c r="AY69" s="157"/>
      <c r="AZ69" s="187"/>
      <c r="BA69" s="149"/>
      <c r="BB69" s="149"/>
      <c r="BC69" s="149"/>
      <c r="BD69" s="149"/>
      <c r="BE69" s="149"/>
      <c r="BF69" s="149"/>
      <c r="BG69" s="149"/>
      <c r="BH69" s="181"/>
      <c r="BI69" s="150"/>
      <c r="BJ69" s="161"/>
      <c r="BK69" s="162"/>
      <c r="BL69" s="162"/>
      <c r="BM69" s="162"/>
      <c r="BN69" s="162"/>
      <c r="BO69" s="162"/>
      <c r="BP69" s="162"/>
      <c r="BQ69" s="162"/>
      <c r="BR69" s="163"/>
    </row>
    <row r="70" spans="2:70" s="156" customFormat="1" ht="9" customHeight="1" x14ac:dyDescent="0.25">
      <c r="B70" s="158"/>
      <c r="C70" s="157"/>
      <c r="D70" s="157"/>
      <c r="E70" s="157"/>
      <c r="F70" s="157"/>
      <c r="G70" s="157"/>
      <c r="H70" s="157"/>
      <c r="I70" s="157"/>
      <c r="J70" s="159"/>
      <c r="K70" s="157"/>
      <c r="L70" s="158"/>
      <c r="M70" s="157"/>
      <c r="N70" s="157"/>
      <c r="O70" s="157"/>
      <c r="P70" s="157"/>
      <c r="Q70" s="157"/>
      <c r="R70" s="157"/>
      <c r="S70" s="157"/>
      <c r="T70" s="159"/>
      <c r="U70" s="157"/>
      <c r="V70" s="158"/>
      <c r="W70" s="157"/>
      <c r="X70" s="157"/>
      <c r="Y70" s="157"/>
      <c r="Z70" s="157"/>
      <c r="AA70" s="157"/>
      <c r="AB70" s="157"/>
      <c r="AC70" s="157"/>
      <c r="AD70" s="159"/>
      <c r="AE70" s="157"/>
      <c r="AF70" s="158"/>
      <c r="AG70" s="157"/>
      <c r="AH70" s="157"/>
      <c r="AI70" s="157"/>
      <c r="AJ70" s="157"/>
      <c r="AK70" s="157"/>
      <c r="AL70" s="157"/>
      <c r="AM70" s="157"/>
      <c r="AN70" s="159"/>
      <c r="AO70" s="157"/>
      <c r="AP70" s="158"/>
      <c r="AQ70" s="157"/>
      <c r="AR70" s="157"/>
      <c r="AS70" s="157"/>
      <c r="AT70" s="157"/>
      <c r="AU70" s="157"/>
      <c r="AV70" s="157"/>
      <c r="AW70" s="157"/>
      <c r="AX70" s="159"/>
      <c r="AY70" s="157"/>
      <c r="AZ70" s="187"/>
      <c r="BA70" s="149"/>
      <c r="BB70" s="149"/>
      <c r="BC70" s="149"/>
      <c r="BD70" s="149"/>
      <c r="BE70" s="149"/>
      <c r="BF70" s="149"/>
      <c r="BG70" s="149"/>
      <c r="BH70" s="181"/>
      <c r="BI70" s="150"/>
      <c r="BJ70" s="187"/>
      <c r="BK70" s="149"/>
      <c r="BL70" s="149"/>
      <c r="BM70" s="149"/>
      <c r="BN70" s="149"/>
      <c r="BO70" s="149"/>
      <c r="BP70" s="149"/>
      <c r="BQ70" s="149"/>
      <c r="BR70" s="181"/>
    </row>
    <row r="71" spans="2:70" s="156" customFormat="1" ht="9" customHeight="1" x14ac:dyDescent="0.25">
      <c r="B71" s="158"/>
      <c r="C71" s="157"/>
      <c r="D71" s="157"/>
      <c r="E71" s="157"/>
      <c r="F71" s="157"/>
      <c r="G71" s="157"/>
      <c r="H71" s="157"/>
      <c r="I71" s="157"/>
      <c r="J71" s="159"/>
      <c r="K71" s="157"/>
      <c r="L71" s="158"/>
      <c r="M71" s="157"/>
      <c r="N71" s="157"/>
      <c r="O71" s="157"/>
      <c r="P71" s="157"/>
      <c r="Q71" s="157"/>
      <c r="R71" s="157"/>
      <c r="S71" s="157"/>
      <c r="T71" s="159"/>
      <c r="U71" s="157"/>
      <c r="V71" s="158"/>
      <c r="W71" s="157"/>
      <c r="X71" s="157"/>
      <c r="Y71" s="157"/>
      <c r="Z71" s="157"/>
      <c r="AA71" s="157"/>
      <c r="AB71" s="157"/>
      <c r="AC71" s="157"/>
      <c r="AD71" s="159"/>
      <c r="AE71" s="157"/>
      <c r="AF71" s="158"/>
      <c r="AG71" s="157"/>
      <c r="AH71" s="157"/>
      <c r="AI71" s="157"/>
      <c r="AJ71" s="157"/>
      <c r="AK71" s="157"/>
      <c r="AL71" s="157"/>
      <c r="AM71" s="157"/>
      <c r="AN71" s="159"/>
      <c r="AO71" s="157"/>
      <c r="AP71" s="158"/>
      <c r="AQ71" s="157"/>
      <c r="AR71" s="157"/>
      <c r="AS71" s="157"/>
      <c r="AT71" s="157"/>
      <c r="AU71" s="157"/>
      <c r="AV71" s="157"/>
      <c r="AW71" s="157"/>
      <c r="AX71" s="159"/>
      <c r="AY71" s="157"/>
      <c r="AZ71" s="187"/>
      <c r="BA71" s="149"/>
      <c r="BB71" s="149"/>
      <c r="BC71" s="149"/>
      <c r="BD71" s="149"/>
      <c r="BE71" s="149"/>
      <c r="BF71" s="149"/>
      <c r="BG71" s="149"/>
      <c r="BH71" s="181"/>
      <c r="BI71" s="150"/>
      <c r="BJ71" s="187"/>
      <c r="BK71" s="149"/>
      <c r="BL71" s="149"/>
      <c r="BM71" s="149"/>
      <c r="BN71" s="149"/>
      <c r="BO71" s="149"/>
      <c r="BP71" s="149"/>
      <c r="BQ71" s="149"/>
      <c r="BR71" s="181"/>
    </row>
    <row r="72" spans="2:70" s="156" customFormat="1" ht="9" customHeight="1" x14ac:dyDescent="0.25">
      <c r="B72" s="158"/>
      <c r="C72" s="157"/>
      <c r="D72" s="157"/>
      <c r="E72" s="157"/>
      <c r="F72" s="157"/>
      <c r="G72" s="157"/>
      <c r="H72" s="157"/>
      <c r="I72" s="157"/>
      <c r="J72" s="159"/>
      <c r="K72" s="157"/>
      <c r="L72" s="158"/>
      <c r="M72" s="157"/>
      <c r="N72" s="157"/>
      <c r="O72" s="157"/>
      <c r="P72" s="157"/>
      <c r="Q72" s="157"/>
      <c r="R72" s="157"/>
      <c r="S72" s="157"/>
      <c r="T72" s="159"/>
      <c r="U72" s="157"/>
      <c r="V72" s="158"/>
      <c r="W72" s="157"/>
      <c r="X72" s="157"/>
      <c r="Y72" s="157"/>
      <c r="Z72" s="157"/>
      <c r="AA72" s="157"/>
      <c r="AB72" s="157"/>
      <c r="AC72" s="157"/>
      <c r="AD72" s="159"/>
      <c r="AE72" s="157"/>
      <c r="AF72" s="158"/>
      <c r="AG72" s="157"/>
      <c r="AH72" s="157"/>
      <c r="AI72" s="157"/>
      <c r="AJ72" s="157"/>
      <c r="AK72" s="157"/>
      <c r="AL72" s="157"/>
      <c r="AM72" s="157"/>
      <c r="AN72" s="159"/>
      <c r="AO72" s="157"/>
      <c r="AP72" s="158"/>
      <c r="AQ72" s="157"/>
      <c r="AR72" s="157"/>
      <c r="AS72" s="157"/>
      <c r="AT72" s="157"/>
      <c r="AU72" s="157"/>
      <c r="AV72" s="157"/>
      <c r="AW72" s="157"/>
      <c r="AX72" s="159"/>
      <c r="AY72" s="157"/>
      <c r="AZ72" s="187"/>
      <c r="BA72" s="149"/>
      <c r="BB72" s="149"/>
      <c r="BC72" s="149"/>
      <c r="BD72" s="149"/>
      <c r="BE72" s="149"/>
      <c r="BF72" s="149"/>
      <c r="BG72" s="149"/>
      <c r="BH72" s="181"/>
      <c r="BI72" s="150"/>
      <c r="BJ72" s="187"/>
      <c r="BK72" s="149"/>
      <c r="BL72" s="149"/>
      <c r="BM72" s="149"/>
      <c r="BN72" s="149"/>
      <c r="BO72" s="149"/>
      <c r="BP72" s="149"/>
      <c r="BQ72" s="149"/>
      <c r="BR72" s="181"/>
    </row>
    <row r="73" spans="2:70" s="156" customFormat="1" ht="9" customHeight="1" x14ac:dyDescent="0.25">
      <c r="B73" s="158"/>
      <c r="C73" s="157"/>
      <c r="D73" s="157"/>
      <c r="E73" s="157"/>
      <c r="F73" s="157"/>
      <c r="G73" s="157"/>
      <c r="H73" s="157"/>
      <c r="I73" s="157"/>
      <c r="J73" s="159"/>
      <c r="K73" s="157"/>
      <c r="L73" s="158"/>
      <c r="M73" s="157"/>
      <c r="N73" s="157"/>
      <c r="O73" s="157"/>
      <c r="P73" s="157"/>
      <c r="Q73" s="157"/>
      <c r="R73" s="157"/>
      <c r="S73" s="157"/>
      <c r="T73" s="159"/>
      <c r="U73" s="157"/>
      <c r="V73" s="158"/>
      <c r="W73" s="157"/>
      <c r="X73" s="157"/>
      <c r="Y73" s="157"/>
      <c r="Z73" s="157"/>
      <c r="AA73" s="157"/>
      <c r="AB73" s="157"/>
      <c r="AC73" s="157"/>
      <c r="AD73" s="159"/>
      <c r="AE73" s="157"/>
      <c r="AF73" s="158"/>
      <c r="AG73" s="157"/>
      <c r="AH73" s="157"/>
      <c r="AI73" s="157"/>
      <c r="AJ73" s="157"/>
      <c r="AK73" s="157"/>
      <c r="AL73" s="157"/>
      <c r="AM73" s="157"/>
      <c r="AN73" s="159"/>
      <c r="AO73" s="157"/>
      <c r="AP73" s="158"/>
      <c r="AQ73" s="157"/>
      <c r="AR73" s="157"/>
      <c r="AS73" s="157"/>
      <c r="AT73" s="157"/>
      <c r="AU73" s="157"/>
      <c r="AV73" s="157"/>
      <c r="AW73" s="157"/>
      <c r="AX73" s="159"/>
      <c r="AY73" s="157"/>
      <c r="AZ73" s="187"/>
      <c r="BA73" s="149"/>
      <c r="BB73" s="149"/>
      <c r="BC73" s="149"/>
      <c r="BD73" s="149"/>
      <c r="BE73" s="149"/>
      <c r="BF73" s="149"/>
      <c r="BG73" s="149"/>
      <c r="BH73" s="181"/>
      <c r="BI73" s="150"/>
      <c r="BJ73" s="187"/>
      <c r="BK73" s="149"/>
      <c r="BL73" s="149"/>
      <c r="BM73" s="149"/>
      <c r="BN73" s="149"/>
      <c r="BO73" s="149"/>
      <c r="BP73" s="149"/>
      <c r="BQ73" s="149"/>
      <c r="BR73" s="181"/>
    </row>
    <row r="74" spans="2:70" s="156" customFormat="1" ht="9" customHeight="1" x14ac:dyDescent="0.25">
      <c r="B74" s="158"/>
      <c r="C74" s="157"/>
      <c r="D74" s="157"/>
      <c r="E74" s="157"/>
      <c r="F74" s="157"/>
      <c r="G74" s="157"/>
      <c r="H74" s="157"/>
      <c r="I74" s="157"/>
      <c r="J74" s="159"/>
      <c r="K74" s="157"/>
      <c r="L74" s="158"/>
      <c r="M74" s="157"/>
      <c r="N74" s="157"/>
      <c r="O74" s="157"/>
      <c r="P74" s="157"/>
      <c r="Q74" s="157"/>
      <c r="R74" s="157"/>
      <c r="S74" s="157"/>
      <c r="T74" s="159"/>
      <c r="U74" s="157"/>
      <c r="V74" s="158"/>
      <c r="W74" s="157"/>
      <c r="X74" s="157"/>
      <c r="Y74" s="157"/>
      <c r="Z74" s="157"/>
      <c r="AA74" s="157"/>
      <c r="AB74" s="157"/>
      <c r="AC74" s="157"/>
      <c r="AD74" s="159"/>
      <c r="AE74" s="157"/>
      <c r="AF74" s="158"/>
      <c r="AG74" s="157"/>
      <c r="AH74" s="157"/>
      <c r="AI74" s="157"/>
      <c r="AJ74" s="157"/>
      <c r="AK74" s="157"/>
      <c r="AL74" s="157"/>
      <c r="AM74" s="157"/>
      <c r="AN74" s="159"/>
      <c r="AO74" s="157"/>
      <c r="AP74" s="158"/>
      <c r="AQ74" s="157"/>
      <c r="AR74" s="157"/>
      <c r="AS74" s="157"/>
      <c r="AT74" s="157"/>
      <c r="AU74" s="157"/>
      <c r="AV74" s="157"/>
      <c r="AW74" s="157"/>
      <c r="AX74" s="159"/>
      <c r="AY74" s="157"/>
      <c r="AZ74" s="187"/>
      <c r="BA74" s="149"/>
      <c r="BB74" s="149"/>
      <c r="BC74" s="149"/>
      <c r="BD74" s="149"/>
      <c r="BE74" s="149"/>
      <c r="BF74" s="149"/>
      <c r="BG74" s="149"/>
      <c r="BH74" s="181"/>
      <c r="BI74" s="150"/>
      <c r="BJ74" s="187"/>
      <c r="BK74" s="149"/>
      <c r="BL74" s="149"/>
      <c r="BM74" s="149"/>
      <c r="BN74" s="149"/>
      <c r="BO74" s="149"/>
      <c r="BP74" s="149"/>
      <c r="BQ74" s="149"/>
      <c r="BR74" s="181"/>
    </row>
    <row r="75" spans="2:70" s="156" customFormat="1" ht="9" customHeight="1" x14ac:dyDescent="0.25">
      <c r="B75" s="158"/>
      <c r="C75" s="157"/>
      <c r="D75" s="157"/>
      <c r="E75" s="157"/>
      <c r="F75" s="157"/>
      <c r="G75" s="157"/>
      <c r="H75" s="157"/>
      <c r="I75" s="157"/>
      <c r="J75" s="159"/>
      <c r="K75" s="157"/>
      <c r="L75" s="158"/>
      <c r="M75" s="157"/>
      <c r="N75" s="157"/>
      <c r="O75" s="157"/>
      <c r="P75" s="157"/>
      <c r="Q75" s="157"/>
      <c r="R75" s="157"/>
      <c r="S75" s="157"/>
      <c r="T75" s="159"/>
      <c r="U75" s="157"/>
      <c r="V75" s="158"/>
      <c r="W75" s="157"/>
      <c r="X75" s="157"/>
      <c r="Y75" s="157"/>
      <c r="Z75" s="157"/>
      <c r="AA75" s="157"/>
      <c r="AB75" s="157"/>
      <c r="AC75" s="157"/>
      <c r="AD75" s="159"/>
      <c r="AE75" s="157"/>
      <c r="AF75" s="158"/>
      <c r="AG75" s="157"/>
      <c r="AH75" s="157"/>
      <c r="AI75" s="157"/>
      <c r="AJ75" s="157"/>
      <c r="AK75" s="157"/>
      <c r="AL75" s="157"/>
      <c r="AM75" s="157"/>
      <c r="AN75" s="159"/>
      <c r="AO75" s="157"/>
      <c r="AP75" s="158"/>
      <c r="AQ75" s="157"/>
      <c r="AR75" s="157"/>
      <c r="AS75" s="157"/>
      <c r="AT75" s="157"/>
      <c r="AU75" s="157"/>
      <c r="AV75" s="157"/>
      <c r="AW75" s="157"/>
      <c r="AX75" s="159"/>
      <c r="AY75" s="157"/>
      <c r="AZ75" s="187"/>
      <c r="BA75" s="149"/>
      <c r="BB75" s="149"/>
      <c r="BC75" s="149"/>
      <c r="BD75" s="149"/>
      <c r="BE75" s="149"/>
      <c r="BF75" s="149"/>
      <c r="BG75" s="149"/>
      <c r="BH75" s="181"/>
      <c r="BI75" s="150"/>
      <c r="BJ75" s="187"/>
      <c r="BK75" s="149"/>
      <c r="BL75" s="149"/>
      <c r="BM75" s="149"/>
      <c r="BN75" s="149"/>
      <c r="BO75" s="149"/>
      <c r="BP75" s="149"/>
      <c r="BQ75" s="149"/>
      <c r="BR75" s="181"/>
    </row>
    <row r="76" spans="2:70" s="174" customFormat="1" ht="9" customHeight="1" x14ac:dyDescent="0.25">
      <c r="B76" s="175"/>
      <c r="C76" s="150"/>
      <c r="D76" s="150"/>
      <c r="E76" s="150"/>
      <c r="F76" s="150"/>
      <c r="G76" s="150"/>
      <c r="H76" s="150"/>
      <c r="I76" s="150"/>
      <c r="J76" s="151"/>
      <c r="K76" s="150"/>
      <c r="L76" s="175"/>
      <c r="M76" s="150"/>
      <c r="N76" s="150"/>
      <c r="O76" s="150"/>
      <c r="P76" s="150"/>
      <c r="Q76" s="150"/>
      <c r="R76" s="150"/>
      <c r="S76" s="150"/>
      <c r="T76" s="151"/>
      <c r="U76" s="150"/>
      <c r="V76" s="175"/>
      <c r="W76" s="150"/>
      <c r="X76" s="150"/>
      <c r="Y76" s="150"/>
      <c r="Z76" s="150"/>
      <c r="AA76" s="150"/>
      <c r="AB76" s="150"/>
      <c r="AC76" s="150"/>
      <c r="AD76" s="151"/>
      <c r="AE76" s="150"/>
      <c r="AF76" s="175"/>
      <c r="AG76" s="150"/>
      <c r="AH76" s="150"/>
      <c r="AI76" s="150"/>
      <c r="AJ76" s="150"/>
      <c r="AK76" s="150"/>
      <c r="AL76" s="150"/>
      <c r="AM76" s="150"/>
      <c r="AN76" s="151"/>
      <c r="AO76" s="150"/>
      <c r="AP76" s="175"/>
      <c r="AQ76" s="150"/>
      <c r="AR76" s="150"/>
      <c r="AS76" s="150"/>
      <c r="AT76" s="150"/>
      <c r="AU76" s="150"/>
      <c r="AV76" s="150"/>
      <c r="AW76" s="150"/>
      <c r="AX76" s="151"/>
      <c r="AY76" s="150"/>
      <c r="AZ76" s="187"/>
      <c r="BA76" s="149"/>
      <c r="BB76" s="149"/>
      <c r="BC76" s="149"/>
      <c r="BD76" s="149"/>
      <c r="BE76" s="149"/>
      <c r="BF76" s="149"/>
      <c r="BG76" s="149"/>
      <c r="BH76" s="181"/>
      <c r="BI76" s="157"/>
      <c r="BJ76" s="187"/>
      <c r="BK76" s="149"/>
      <c r="BL76" s="149"/>
      <c r="BM76" s="149"/>
      <c r="BN76" s="149"/>
      <c r="BO76" s="149"/>
      <c r="BP76" s="149"/>
      <c r="BQ76" s="149"/>
      <c r="BR76" s="181"/>
    </row>
    <row r="77" spans="2:70" s="156" customFormat="1" ht="8.25" customHeight="1" x14ac:dyDescent="0.25">
      <c r="B77" s="491" t="s">
        <v>370</v>
      </c>
      <c r="C77" s="491"/>
      <c r="D77" s="491"/>
      <c r="E77" s="491"/>
      <c r="F77" s="491"/>
      <c r="G77" s="492">
        <f>CEILING(2459*A3,1)</f>
        <v>4673</v>
      </c>
      <c r="H77" s="492"/>
      <c r="I77" s="492"/>
      <c r="J77" s="492"/>
      <c r="K77" s="129"/>
      <c r="L77" s="128"/>
      <c r="M77" s="129"/>
      <c r="N77" s="129"/>
      <c r="O77" s="129"/>
      <c r="P77" s="129"/>
      <c r="Q77" s="129"/>
      <c r="R77" s="129"/>
      <c r="S77" s="129"/>
      <c r="T77" s="130"/>
      <c r="U77" s="129"/>
      <c r="V77" s="128"/>
      <c r="W77" s="129"/>
      <c r="X77" s="129"/>
      <c r="Y77" s="129"/>
      <c r="Z77" s="129"/>
      <c r="AA77" s="129"/>
      <c r="AB77" s="129"/>
      <c r="AC77" s="129"/>
      <c r="AD77" s="130"/>
      <c r="AE77" s="129"/>
      <c r="AF77" s="128"/>
      <c r="AG77" s="129"/>
      <c r="AH77" s="129"/>
      <c r="AI77" s="129"/>
      <c r="AJ77" s="129"/>
      <c r="AK77" s="129"/>
      <c r="AL77" s="129"/>
      <c r="AM77" s="129"/>
      <c r="AN77" s="130"/>
      <c r="AO77" s="129"/>
      <c r="AP77" s="128"/>
      <c r="AQ77" s="129"/>
      <c r="AR77" s="129"/>
      <c r="AS77" s="129"/>
      <c r="AT77" s="129"/>
      <c r="AU77" s="129"/>
      <c r="AV77" s="129"/>
      <c r="AW77" s="129"/>
      <c r="AX77" s="130"/>
      <c r="AY77" s="129"/>
      <c r="AZ77" s="152"/>
      <c r="BA77" s="134"/>
      <c r="BB77" s="134"/>
      <c r="BC77" s="134"/>
      <c r="BD77" s="134"/>
      <c r="BE77" s="134"/>
      <c r="BF77" s="134"/>
      <c r="BG77" s="134"/>
      <c r="BH77" s="135"/>
      <c r="BI77" s="140"/>
      <c r="BJ77" s="506" t="s">
        <v>451</v>
      </c>
      <c r="BK77" s="506"/>
      <c r="BL77" s="506"/>
      <c r="BM77" s="491"/>
      <c r="BN77" s="506"/>
      <c r="BO77" s="126">
        <f>CEILING(457*A3,1)</f>
        <v>869</v>
      </c>
      <c r="BP77" s="509"/>
      <c r="BQ77" s="510"/>
      <c r="BR77" s="511"/>
    </row>
    <row r="78" spans="2:70" s="156" customFormat="1" ht="9" customHeight="1" x14ac:dyDescent="0.25">
      <c r="B78" s="491" t="s">
        <v>371</v>
      </c>
      <c r="C78" s="491"/>
      <c r="D78" s="491"/>
      <c r="E78" s="491"/>
      <c r="F78" s="491"/>
      <c r="G78" s="492">
        <f>CEILING(2612*A3,1)</f>
        <v>4963</v>
      </c>
      <c r="H78" s="492"/>
      <c r="I78" s="492"/>
      <c r="J78" s="492"/>
      <c r="K78" s="126"/>
      <c r="L78" s="491" t="s">
        <v>371</v>
      </c>
      <c r="M78" s="491"/>
      <c r="N78" s="491"/>
      <c r="O78" s="491"/>
      <c r="P78" s="491"/>
      <c r="Q78" s="492">
        <f>CEILING(3512*A3,1)</f>
        <v>6673</v>
      </c>
      <c r="R78" s="492"/>
      <c r="S78" s="492"/>
      <c r="T78" s="492"/>
      <c r="U78" s="126"/>
      <c r="V78" s="491" t="s">
        <v>371</v>
      </c>
      <c r="W78" s="491"/>
      <c r="X78" s="491"/>
      <c r="Y78" s="491"/>
      <c r="Z78" s="491"/>
      <c r="AA78" s="492">
        <f>CEILING(3864*A3,1)</f>
        <v>7342</v>
      </c>
      <c r="AB78" s="492"/>
      <c r="AC78" s="492"/>
      <c r="AD78" s="492"/>
      <c r="AE78" s="126"/>
      <c r="AF78" s="491" t="s">
        <v>371</v>
      </c>
      <c r="AG78" s="491"/>
      <c r="AH78" s="491"/>
      <c r="AI78" s="491"/>
      <c r="AJ78" s="491"/>
      <c r="AK78" s="492">
        <f>CEILING(4682*A3,1)</f>
        <v>8896</v>
      </c>
      <c r="AL78" s="492"/>
      <c r="AM78" s="492"/>
      <c r="AN78" s="492"/>
      <c r="AO78" s="126"/>
      <c r="AP78" s="491" t="s">
        <v>371</v>
      </c>
      <c r="AQ78" s="491"/>
      <c r="AR78" s="491"/>
      <c r="AS78" s="491"/>
      <c r="AT78" s="491"/>
      <c r="AU78" s="492">
        <f>CEILING(4934*A3,1)</f>
        <v>9375</v>
      </c>
      <c r="AV78" s="492"/>
      <c r="AW78" s="492"/>
      <c r="AX78" s="492"/>
      <c r="AY78" s="126"/>
      <c r="AZ78" s="491" t="s">
        <v>452</v>
      </c>
      <c r="BA78" s="491"/>
      <c r="BB78" s="491"/>
      <c r="BC78" s="491"/>
      <c r="BD78" s="491"/>
      <c r="BE78" s="492">
        <f>CEILING(591*A3,1)</f>
        <v>1123</v>
      </c>
      <c r="BF78" s="492"/>
      <c r="BG78" s="492"/>
      <c r="BH78" s="492"/>
      <c r="BI78" s="126"/>
      <c r="BJ78" s="506" t="s">
        <v>453</v>
      </c>
      <c r="BK78" s="507"/>
      <c r="BL78" s="507"/>
      <c r="BM78" s="491"/>
      <c r="BN78" s="508"/>
      <c r="BO78" s="492">
        <f>CEILING(893*A3,1)</f>
        <v>1697</v>
      </c>
      <c r="BP78" s="509"/>
      <c r="BQ78" s="510"/>
      <c r="BR78" s="511"/>
    </row>
    <row r="79" spans="2:70" s="156" customFormat="1" ht="9" customHeight="1" x14ac:dyDescent="0.25">
      <c r="B79" s="491" t="s">
        <v>372</v>
      </c>
      <c r="C79" s="491"/>
      <c r="D79" s="491"/>
      <c r="E79" s="491"/>
      <c r="F79" s="491"/>
      <c r="G79" s="492">
        <f>CEILING(2823*A3,1)</f>
        <v>5364</v>
      </c>
      <c r="H79" s="492"/>
      <c r="I79" s="492"/>
      <c r="J79" s="492"/>
      <c r="K79" s="126"/>
      <c r="L79" s="491" t="s">
        <v>372</v>
      </c>
      <c r="M79" s="491"/>
      <c r="N79" s="491"/>
      <c r="O79" s="491"/>
      <c r="P79" s="491"/>
      <c r="Q79" s="492">
        <f>CEILING(3780*A3,1)</f>
        <v>7182</v>
      </c>
      <c r="R79" s="492"/>
      <c r="S79" s="492"/>
      <c r="T79" s="492"/>
      <c r="U79" s="126"/>
      <c r="V79" s="491" t="s">
        <v>372</v>
      </c>
      <c r="W79" s="491"/>
      <c r="X79" s="491"/>
      <c r="Y79" s="491"/>
      <c r="Z79" s="491"/>
      <c r="AA79" s="492">
        <f>CEILING(4217*A3,1)</f>
        <v>8013</v>
      </c>
      <c r="AB79" s="492"/>
      <c r="AC79" s="492"/>
      <c r="AD79" s="492"/>
      <c r="AE79" s="126"/>
      <c r="AF79" s="491" t="s">
        <v>372</v>
      </c>
      <c r="AG79" s="491"/>
      <c r="AH79" s="491"/>
      <c r="AI79" s="491"/>
      <c r="AJ79" s="491"/>
      <c r="AK79" s="492">
        <f>CEILING(5118*A3,1)</f>
        <v>9725</v>
      </c>
      <c r="AL79" s="492"/>
      <c r="AM79" s="492"/>
      <c r="AN79" s="492"/>
      <c r="AO79" s="126"/>
      <c r="AP79" s="491" t="s">
        <v>372</v>
      </c>
      <c r="AQ79" s="491"/>
      <c r="AR79" s="491"/>
      <c r="AS79" s="491"/>
      <c r="AT79" s="491"/>
      <c r="AU79" s="492">
        <f>CEILING(5199*A3,1)</f>
        <v>9879</v>
      </c>
      <c r="AV79" s="492"/>
      <c r="AW79" s="492"/>
      <c r="AX79" s="492"/>
      <c r="AY79" s="126"/>
      <c r="AZ79" s="491" t="s">
        <v>454</v>
      </c>
      <c r="BA79" s="491"/>
      <c r="BB79" s="491"/>
      <c r="BC79" s="491"/>
      <c r="BD79" s="491"/>
      <c r="BE79" s="532">
        <v>604</v>
      </c>
      <c r="BF79" s="532"/>
      <c r="BG79" s="532"/>
      <c r="BH79" s="532"/>
      <c r="BI79" s="126"/>
      <c r="BJ79" s="506" t="s">
        <v>454</v>
      </c>
      <c r="BK79" s="506"/>
      <c r="BL79" s="506"/>
      <c r="BM79" s="491"/>
      <c r="BN79" s="506"/>
      <c r="BO79" s="154">
        <v>604</v>
      </c>
      <c r="BP79" s="539"/>
      <c r="BQ79" s="540"/>
      <c r="BR79" s="541"/>
    </row>
    <row r="80" spans="2:70" s="156" customFormat="1" ht="1.5" customHeight="1" x14ac:dyDescent="0.25">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row>
    <row r="81" spans="2:80" s="156" customFormat="1" ht="9" customHeight="1" x14ac:dyDescent="0.25">
      <c r="B81" s="482" t="s">
        <v>455</v>
      </c>
      <c r="C81" s="483"/>
      <c r="D81" s="484"/>
      <c r="E81" s="486" t="s">
        <v>48</v>
      </c>
      <c r="F81" s="486"/>
      <c r="G81" s="486"/>
      <c r="H81" s="486"/>
      <c r="I81" s="486"/>
      <c r="J81" s="487"/>
      <c r="K81" s="157"/>
      <c r="L81" s="482" t="s">
        <v>456</v>
      </c>
      <c r="M81" s="483"/>
      <c r="N81" s="484"/>
      <c r="O81" s="504" t="s">
        <v>457</v>
      </c>
      <c r="P81" s="504"/>
      <c r="Q81" s="504"/>
      <c r="R81" s="504"/>
      <c r="S81" s="504"/>
      <c r="T81" s="505"/>
      <c r="U81" s="157"/>
      <c r="V81" s="482" t="s">
        <v>458</v>
      </c>
      <c r="W81" s="483"/>
      <c r="X81" s="484"/>
      <c r="Y81" s="504" t="s">
        <v>457</v>
      </c>
      <c r="Z81" s="504"/>
      <c r="AA81" s="504"/>
      <c r="AB81" s="504"/>
      <c r="AC81" s="504"/>
      <c r="AD81" s="505"/>
      <c r="AE81" s="157"/>
      <c r="AF81" s="482" t="s">
        <v>459</v>
      </c>
      <c r="AG81" s="483"/>
      <c r="AH81" s="484"/>
      <c r="AI81" s="504" t="s">
        <v>457</v>
      </c>
      <c r="AJ81" s="504"/>
      <c r="AK81" s="504"/>
      <c r="AL81" s="504"/>
      <c r="AM81" s="504"/>
      <c r="AN81" s="505"/>
      <c r="AO81" s="157"/>
      <c r="AP81" s="482" t="s">
        <v>460</v>
      </c>
      <c r="AQ81" s="483"/>
      <c r="AR81" s="484"/>
      <c r="AS81" s="504" t="s">
        <v>457</v>
      </c>
      <c r="AT81" s="504"/>
      <c r="AU81" s="504"/>
      <c r="AV81" s="504"/>
      <c r="AW81" s="504"/>
      <c r="AX81" s="505"/>
      <c r="AY81" s="157"/>
      <c r="AZ81" s="482" t="s">
        <v>461</v>
      </c>
      <c r="BA81" s="483"/>
      <c r="BB81" s="484"/>
      <c r="BC81" s="504" t="s">
        <v>462</v>
      </c>
      <c r="BD81" s="504"/>
      <c r="BE81" s="504"/>
      <c r="BF81" s="504"/>
      <c r="BG81" s="504"/>
      <c r="BH81" s="505"/>
      <c r="BI81" s="150"/>
      <c r="BJ81" s="482" t="s">
        <v>463</v>
      </c>
      <c r="BK81" s="483"/>
      <c r="BL81" s="484"/>
      <c r="BM81" s="503" t="s">
        <v>464</v>
      </c>
      <c r="BN81" s="503"/>
      <c r="BO81" s="504"/>
      <c r="BP81" s="504"/>
      <c r="BQ81" s="504"/>
      <c r="BR81" s="505"/>
      <c r="BT81" s="538"/>
      <c r="BU81" s="538"/>
      <c r="BV81" s="538"/>
      <c r="BW81" s="538"/>
      <c r="BX81" s="538"/>
      <c r="BY81" s="538"/>
      <c r="BZ81" s="538"/>
      <c r="CA81" s="538"/>
      <c r="CB81" s="538"/>
    </row>
    <row r="82" spans="2:80" s="156" customFormat="1" ht="9" customHeight="1" x14ac:dyDescent="0.25">
      <c r="B82" s="488" t="s">
        <v>48</v>
      </c>
      <c r="C82" s="489"/>
      <c r="D82" s="489"/>
      <c r="E82" s="489"/>
      <c r="F82" s="489"/>
      <c r="G82" s="489"/>
      <c r="H82" s="489"/>
      <c r="I82" s="489"/>
      <c r="J82" s="490"/>
      <c r="K82" s="157"/>
      <c r="L82" s="488" t="s">
        <v>465</v>
      </c>
      <c r="M82" s="489"/>
      <c r="N82" s="489"/>
      <c r="O82" s="489"/>
      <c r="P82" s="489"/>
      <c r="Q82" s="489"/>
      <c r="R82" s="489"/>
      <c r="S82" s="489"/>
      <c r="T82" s="490"/>
      <c r="U82" s="157"/>
      <c r="V82" s="488" t="s">
        <v>465</v>
      </c>
      <c r="W82" s="489"/>
      <c r="X82" s="489"/>
      <c r="Y82" s="489"/>
      <c r="Z82" s="489"/>
      <c r="AA82" s="489"/>
      <c r="AB82" s="489"/>
      <c r="AC82" s="489"/>
      <c r="AD82" s="490"/>
      <c r="AE82" s="157"/>
      <c r="AF82" s="488" t="s">
        <v>465</v>
      </c>
      <c r="AG82" s="489"/>
      <c r="AH82" s="489"/>
      <c r="AI82" s="489"/>
      <c r="AJ82" s="489"/>
      <c r="AK82" s="489"/>
      <c r="AL82" s="489"/>
      <c r="AM82" s="489"/>
      <c r="AN82" s="490"/>
      <c r="AO82" s="157"/>
      <c r="AP82" s="488" t="s">
        <v>465</v>
      </c>
      <c r="AQ82" s="489"/>
      <c r="AR82" s="489"/>
      <c r="AS82" s="489"/>
      <c r="AT82" s="489"/>
      <c r="AU82" s="489"/>
      <c r="AV82" s="489"/>
      <c r="AW82" s="489"/>
      <c r="AX82" s="490"/>
      <c r="AY82" s="157"/>
      <c r="AZ82" s="488" t="s">
        <v>466</v>
      </c>
      <c r="BA82" s="489"/>
      <c r="BB82" s="489"/>
      <c r="BC82" s="489"/>
      <c r="BD82" s="489"/>
      <c r="BE82" s="489"/>
      <c r="BF82" s="489"/>
      <c r="BG82" s="489"/>
      <c r="BH82" s="490"/>
      <c r="BI82" s="151"/>
      <c r="BJ82" s="488" t="s">
        <v>467</v>
      </c>
      <c r="BK82" s="489"/>
      <c r="BL82" s="489"/>
      <c r="BM82" s="489"/>
      <c r="BN82" s="489"/>
      <c r="BO82" s="489"/>
      <c r="BP82" s="489"/>
      <c r="BQ82" s="489"/>
      <c r="BR82" s="490"/>
      <c r="BT82" s="188"/>
      <c r="BU82" s="188"/>
      <c r="BV82" s="188"/>
      <c r="BW82" s="188"/>
      <c r="BX82" s="188"/>
      <c r="BY82" s="188"/>
      <c r="BZ82" s="188"/>
      <c r="CA82" s="188"/>
      <c r="CB82" s="188"/>
    </row>
    <row r="83" spans="2:80" s="156" customFormat="1" ht="9" customHeight="1" x14ac:dyDescent="0.25">
      <c r="B83" s="488" t="s">
        <v>468</v>
      </c>
      <c r="C83" s="489"/>
      <c r="D83" s="489"/>
      <c r="E83" s="489"/>
      <c r="F83" s="489"/>
      <c r="G83" s="489"/>
      <c r="H83" s="489"/>
      <c r="I83" s="489"/>
      <c r="J83" s="490"/>
      <c r="K83" s="157"/>
      <c r="L83" s="158"/>
      <c r="M83" s="157"/>
      <c r="N83" s="157"/>
      <c r="O83" s="157"/>
      <c r="P83" s="157"/>
      <c r="Q83" s="157"/>
      <c r="R83" s="157"/>
      <c r="S83" s="157"/>
      <c r="T83" s="159"/>
      <c r="U83" s="157"/>
      <c r="V83" s="158"/>
      <c r="W83" s="157"/>
      <c r="X83" s="157"/>
      <c r="Y83" s="157"/>
      <c r="Z83" s="157"/>
      <c r="AA83" s="157"/>
      <c r="AB83" s="157"/>
      <c r="AC83" s="157"/>
      <c r="AD83" s="159"/>
      <c r="AE83" s="157"/>
      <c r="AF83" s="158"/>
      <c r="AG83" s="157"/>
      <c r="AH83" s="157"/>
      <c r="AI83" s="157"/>
      <c r="AJ83" s="157"/>
      <c r="AK83" s="157"/>
      <c r="AL83" s="157"/>
      <c r="AM83" s="157"/>
      <c r="AN83" s="159"/>
      <c r="AO83" s="157"/>
      <c r="AP83" s="158"/>
      <c r="AQ83" s="157"/>
      <c r="AR83" s="157"/>
      <c r="AS83" s="157"/>
      <c r="AT83" s="157"/>
      <c r="AU83" s="157"/>
      <c r="AV83" s="157"/>
      <c r="AW83" s="157"/>
      <c r="AX83" s="159"/>
      <c r="AY83" s="157"/>
      <c r="AZ83" s="187"/>
      <c r="BA83" s="149"/>
      <c r="BB83" s="149"/>
      <c r="BC83" s="162"/>
      <c r="BD83" s="162"/>
      <c r="BE83" s="162"/>
      <c r="BF83" s="162"/>
      <c r="BG83" s="162"/>
      <c r="BH83" s="163"/>
      <c r="BI83" s="151"/>
      <c r="BJ83" s="149"/>
      <c r="BK83" s="149"/>
      <c r="BL83" s="149"/>
      <c r="BM83" s="162"/>
      <c r="BN83" s="162"/>
      <c r="BO83" s="162"/>
      <c r="BP83" s="162"/>
      <c r="BQ83" s="162"/>
      <c r="BR83" s="163"/>
      <c r="BT83" s="188"/>
      <c r="BU83" s="188"/>
      <c r="BV83" s="188"/>
      <c r="BW83" s="160"/>
      <c r="BX83" s="160"/>
      <c r="BY83" s="160"/>
      <c r="BZ83" s="160"/>
      <c r="CA83" s="160"/>
      <c r="CB83" s="160"/>
    </row>
    <row r="84" spans="2:80" s="156" customFormat="1" ht="9" customHeight="1" x14ac:dyDescent="0.25">
      <c r="B84" s="158"/>
      <c r="C84" s="157"/>
      <c r="D84" s="157"/>
      <c r="E84" s="157"/>
      <c r="F84" s="157"/>
      <c r="G84" s="157"/>
      <c r="H84" s="157"/>
      <c r="I84" s="157"/>
      <c r="J84" s="159"/>
      <c r="K84" s="157"/>
      <c r="L84" s="158"/>
      <c r="M84" s="157"/>
      <c r="N84" s="157"/>
      <c r="O84" s="157"/>
      <c r="P84" s="157"/>
      <c r="Q84" s="157"/>
      <c r="R84" s="157"/>
      <c r="S84" s="157"/>
      <c r="T84" s="159"/>
      <c r="U84" s="157"/>
      <c r="V84" s="158"/>
      <c r="W84" s="157"/>
      <c r="X84" s="157"/>
      <c r="Y84" s="157"/>
      <c r="Z84" s="157"/>
      <c r="AA84" s="157"/>
      <c r="AB84" s="157"/>
      <c r="AC84" s="157"/>
      <c r="AD84" s="159"/>
      <c r="AE84" s="157"/>
      <c r="AF84" s="158"/>
      <c r="AG84" s="157"/>
      <c r="AH84" s="157"/>
      <c r="AI84" s="157"/>
      <c r="AJ84" s="157"/>
      <c r="AK84" s="157"/>
      <c r="AL84" s="157"/>
      <c r="AM84" s="157"/>
      <c r="AN84" s="159"/>
      <c r="AO84" s="157"/>
      <c r="AP84" s="158"/>
      <c r="AQ84" s="157"/>
      <c r="AR84" s="157"/>
      <c r="AS84" s="157"/>
      <c r="AT84" s="157"/>
      <c r="AU84" s="157"/>
      <c r="AV84" s="157"/>
      <c r="AW84" s="157"/>
      <c r="AX84" s="159"/>
      <c r="AY84" s="157"/>
      <c r="AZ84" s="187"/>
      <c r="BA84" s="149"/>
      <c r="BB84" s="149"/>
      <c r="BC84" s="162"/>
      <c r="BD84" s="162"/>
      <c r="BE84" s="162"/>
      <c r="BF84" s="162"/>
      <c r="BG84" s="162"/>
      <c r="BH84" s="163"/>
      <c r="BI84" s="151"/>
      <c r="BJ84" s="149"/>
      <c r="BK84" s="149"/>
      <c r="BL84" s="149"/>
      <c r="BM84" s="162"/>
      <c r="BN84" s="162"/>
      <c r="BO84" s="162"/>
      <c r="BP84" s="162"/>
      <c r="BQ84" s="162"/>
      <c r="BR84" s="163"/>
      <c r="BT84" s="188"/>
      <c r="BU84" s="188"/>
      <c r="BV84" s="188"/>
      <c r="BW84" s="160"/>
      <c r="BX84" s="160"/>
      <c r="BY84" s="160"/>
      <c r="BZ84" s="160"/>
      <c r="CA84" s="160"/>
      <c r="CB84" s="160"/>
    </row>
    <row r="85" spans="2:80" s="156" customFormat="1" ht="9" customHeight="1" x14ac:dyDescent="0.25">
      <c r="B85" s="158"/>
      <c r="C85" s="157"/>
      <c r="D85" s="157"/>
      <c r="E85" s="157"/>
      <c r="F85" s="157"/>
      <c r="G85" s="157"/>
      <c r="H85" s="157"/>
      <c r="I85" s="157"/>
      <c r="J85" s="159"/>
      <c r="K85" s="157"/>
      <c r="L85" s="158"/>
      <c r="M85" s="157"/>
      <c r="N85" s="157"/>
      <c r="O85" s="157"/>
      <c r="P85" s="157"/>
      <c r="Q85" s="157"/>
      <c r="R85" s="157"/>
      <c r="S85" s="157"/>
      <c r="T85" s="159"/>
      <c r="U85" s="157"/>
      <c r="V85" s="158"/>
      <c r="W85" s="157"/>
      <c r="X85" s="157"/>
      <c r="Y85" s="157"/>
      <c r="Z85" s="157"/>
      <c r="AA85" s="157"/>
      <c r="AB85" s="157"/>
      <c r="AC85" s="157"/>
      <c r="AD85" s="159"/>
      <c r="AE85" s="157"/>
      <c r="AF85" s="158"/>
      <c r="AG85" s="157"/>
      <c r="AH85" s="157"/>
      <c r="AI85" s="157"/>
      <c r="AJ85" s="157"/>
      <c r="AK85" s="157"/>
      <c r="AL85" s="157"/>
      <c r="AM85" s="157"/>
      <c r="AN85" s="159"/>
      <c r="AO85" s="157"/>
      <c r="AP85" s="158"/>
      <c r="AQ85" s="157"/>
      <c r="AR85" s="157"/>
      <c r="AS85" s="157"/>
      <c r="AT85" s="157"/>
      <c r="AU85" s="157"/>
      <c r="AV85" s="157"/>
      <c r="AW85" s="157"/>
      <c r="AX85" s="159"/>
      <c r="AY85" s="157"/>
      <c r="AZ85" s="187"/>
      <c r="BA85" s="149"/>
      <c r="BB85" s="149"/>
      <c r="BC85" s="162"/>
      <c r="BD85" s="162"/>
      <c r="BE85" s="162"/>
      <c r="BF85" s="162"/>
      <c r="BG85" s="162"/>
      <c r="BH85" s="163"/>
      <c r="BI85" s="151"/>
      <c r="BJ85" s="149"/>
      <c r="BK85" s="149"/>
      <c r="BL85" s="149"/>
      <c r="BM85" s="162"/>
      <c r="BN85" s="162"/>
      <c r="BO85" s="162"/>
      <c r="BP85" s="162"/>
      <c r="BQ85" s="162"/>
      <c r="BR85" s="163"/>
      <c r="BT85" s="188"/>
      <c r="BU85" s="188"/>
      <c r="BV85" s="188"/>
      <c r="BW85" s="160"/>
      <c r="BX85" s="160"/>
      <c r="BY85" s="160"/>
      <c r="BZ85" s="160"/>
      <c r="CA85" s="160"/>
      <c r="CB85" s="160"/>
    </row>
    <row r="86" spans="2:80" s="156" customFormat="1" ht="9" customHeight="1" x14ac:dyDescent="0.25">
      <c r="B86" s="158"/>
      <c r="C86" s="157"/>
      <c r="D86" s="157"/>
      <c r="E86" s="157"/>
      <c r="F86" s="157"/>
      <c r="G86" s="157"/>
      <c r="H86" s="157"/>
      <c r="I86" s="157"/>
      <c r="J86" s="159"/>
      <c r="K86" s="157"/>
      <c r="L86" s="158"/>
      <c r="M86" s="157"/>
      <c r="N86" s="157"/>
      <c r="O86" s="157"/>
      <c r="P86" s="157"/>
      <c r="Q86" s="157"/>
      <c r="R86" s="157"/>
      <c r="S86" s="157"/>
      <c r="T86" s="159"/>
      <c r="U86" s="157"/>
      <c r="V86" s="158"/>
      <c r="W86" s="157"/>
      <c r="X86" s="157"/>
      <c r="Y86" s="157"/>
      <c r="Z86" s="157"/>
      <c r="AA86" s="157"/>
      <c r="AB86" s="157"/>
      <c r="AC86" s="157"/>
      <c r="AD86" s="159"/>
      <c r="AE86" s="157"/>
      <c r="AF86" s="158"/>
      <c r="AG86" s="157"/>
      <c r="AH86" s="157"/>
      <c r="AI86" s="157"/>
      <c r="AJ86" s="157"/>
      <c r="AK86" s="157"/>
      <c r="AL86" s="157"/>
      <c r="AM86" s="157"/>
      <c r="AN86" s="159"/>
      <c r="AO86" s="157"/>
      <c r="AP86" s="158"/>
      <c r="AQ86" s="157"/>
      <c r="AR86" s="157"/>
      <c r="AS86" s="157"/>
      <c r="AT86" s="157"/>
      <c r="AU86" s="157"/>
      <c r="AV86" s="157"/>
      <c r="AW86" s="157"/>
      <c r="AX86" s="159"/>
      <c r="AY86" s="157"/>
      <c r="AZ86" s="161"/>
      <c r="BA86" s="162"/>
      <c r="BB86" s="162"/>
      <c r="BC86" s="162"/>
      <c r="BD86" s="162"/>
      <c r="BE86" s="162"/>
      <c r="BF86" s="162"/>
      <c r="BG86" s="162"/>
      <c r="BH86" s="163"/>
      <c r="BI86" s="151"/>
      <c r="BJ86" s="149"/>
      <c r="BK86" s="149"/>
      <c r="BL86" s="149"/>
      <c r="BM86" s="149"/>
      <c r="BN86" s="149"/>
      <c r="BO86" s="149"/>
      <c r="BP86" s="149"/>
      <c r="BQ86" s="149"/>
      <c r="BR86" s="181"/>
      <c r="BT86" s="188"/>
      <c r="BU86" s="188"/>
      <c r="BV86" s="188"/>
      <c r="BW86" s="188"/>
      <c r="BX86" s="188"/>
      <c r="BY86" s="188"/>
      <c r="BZ86" s="188"/>
      <c r="CA86" s="188"/>
      <c r="CB86" s="188"/>
    </row>
    <row r="87" spans="2:80" s="156" customFormat="1" ht="9" customHeight="1" x14ac:dyDescent="0.25">
      <c r="B87" s="158"/>
      <c r="C87" s="157"/>
      <c r="D87" s="157"/>
      <c r="E87" s="157"/>
      <c r="F87" s="157"/>
      <c r="G87" s="157"/>
      <c r="H87" s="157"/>
      <c r="I87" s="157"/>
      <c r="J87" s="159"/>
      <c r="K87" s="157"/>
      <c r="L87" s="158"/>
      <c r="M87" s="157"/>
      <c r="N87" s="157"/>
      <c r="O87" s="157"/>
      <c r="P87" s="157"/>
      <c r="Q87" s="157"/>
      <c r="R87" s="157"/>
      <c r="S87" s="157"/>
      <c r="T87" s="159"/>
      <c r="U87" s="157"/>
      <c r="V87" s="158"/>
      <c r="W87" s="157"/>
      <c r="X87" s="157"/>
      <c r="Y87" s="157"/>
      <c r="Z87" s="157"/>
      <c r="AA87" s="157"/>
      <c r="AB87" s="157"/>
      <c r="AC87" s="157"/>
      <c r="AD87" s="159"/>
      <c r="AE87" s="157"/>
      <c r="AF87" s="158"/>
      <c r="AG87" s="157"/>
      <c r="AH87" s="157"/>
      <c r="AI87" s="157"/>
      <c r="AJ87" s="157"/>
      <c r="AK87" s="157"/>
      <c r="AL87" s="157"/>
      <c r="AM87" s="157"/>
      <c r="AN87" s="159"/>
      <c r="AO87" s="157"/>
      <c r="AP87" s="158"/>
      <c r="AQ87" s="157"/>
      <c r="AR87" s="157"/>
      <c r="AS87" s="157"/>
      <c r="AT87" s="157"/>
      <c r="AU87" s="157"/>
      <c r="AV87" s="157"/>
      <c r="AW87" s="157"/>
      <c r="AX87" s="159"/>
      <c r="AY87" s="157"/>
      <c r="AZ87" s="187"/>
      <c r="BA87" s="149"/>
      <c r="BB87" s="149"/>
      <c r="BC87" s="149"/>
      <c r="BD87" s="149"/>
      <c r="BE87" s="149"/>
      <c r="BF87" s="149"/>
      <c r="BG87" s="149"/>
      <c r="BH87" s="181"/>
      <c r="BI87" s="151"/>
      <c r="BJ87" s="533" t="s">
        <v>469</v>
      </c>
      <c r="BK87" s="534"/>
      <c r="BL87" s="534"/>
      <c r="BM87" s="534"/>
      <c r="BN87" s="535"/>
      <c r="BO87" s="492">
        <f>CEILING(531*A3,1)</f>
        <v>1009</v>
      </c>
      <c r="BP87" s="509"/>
      <c r="BQ87" s="510"/>
      <c r="BR87" s="511"/>
      <c r="BT87" s="536"/>
      <c r="BU87" s="536"/>
      <c r="BV87" s="536"/>
      <c r="BW87" s="536"/>
      <c r="BX87" s="536"/>
      <c r="BY87" s="538"/>
      <c r="BZ87" s="538"/>
      <c r="CA87" s="538"/>
      <c r="CB87" s="538"/>
    </row>
    <row r="88" spans="2:80" s="156" customFormat="1" ht="9" customHeight="1" x14ac:dyDescent="0.25">
      <c r="B88" s="158"/>
      <c r="C88" s="157"/>
      <c r="D88" s="157"/>
      <c r="E88" s="157"/>
      <c r="F88" s="157"/>
      <c r="G88" s="157"/>
      <c r="H88" s="157"/>
      <c r="I88" s="157"/>
      <c r="J88" s="159"/>
      <c r="K88" s="157"/>
      <c r="L88" s="158"/>
      <c r="M88" s="157"/>
      <c r="N88" s="157"/>
      <c r="O88" s="157"/>
      <c r="P88" s="157"/>
      <c r="Q88" s="157"/>
      <c r="R88" s="157"/>
      <c r="S88" s="157"/>
      <c r="T88" s="159"/>
      <c r="U88" s="157"/>
      <c r="V88" s="158"/>
      <c r="W88" s="157"/>
      <c r="X88" s="157"/>
      <c r="Y88" s="157"/>
      <c r="Z88" s="157"/>
      <c r="AA88" s="157"/>
      <c r="AB88" s="157"/>
      <c r="AC88" s="157"/>
      <c r="AD88" s="159"/>
      <c r="AE88" s="157"/>
      <c r="AF88" s="158"/>
      <c r="AG88" s="157"/>
      <c r="AH88" s="157"/>
      <c r="AI88" s="157"/>
      <c r="AJ88" s="157"/>
      <c r="AK88" s="157"/>
      <c r="AL88" s="157"/>
      <c r="AM88" s="157"/>
      <c r="AN88" s="159"/>
      <c r="AO88" s="157"/>
      <c r="AP88" s="158"/>
      <c r="AQ88" s="157"/>
      <c r="AR88" s="157"/>
      <c r="AS88" s="157"/>
      <c r="AT88" s="157"/>
      <c r="AU88" s="157"/>
      <c r="AV88" s="157"/>
      <c r="AW88" s="157"/>
      <c r="AX88" s="159"/>
      <c r="AY88" s="157"/>
      <c r="AZ88" s="187"/>
      <c r="BA88" s="149"/>
      <c r="BB88" s="149"/>
      <c r="BC88" s="149"/>
      <c r="BD88" s="149"/>
      <c r="BE88" s="149"/>
      <c r="BF88" s="149"/>
      <c r="BG88" s="149"/>
      <c r="BH88" s="181"/>
      <c r="BI88" s="150"/>
      <c r="BJ88" s="482" t="s">
        <v>470</v>
      </c>
      <c r="BK88" s="483"/>
      <c r="BL88" s="484"/>
      <c r="BM88" s="489" t="s">
        <v>462</v>
      </c>
      <c r="BN88" s="488"/>
      <c r="BO88" s="489"/>
      <c r="BP88" s="489"/>
      <c r="BQ88" s="489"/>
      <c r="BR88" s="490"/>
      <c r="BT88" s="538"/>
      <c r="BU88" s="538"/>
      <c r="BV88" s="538"/>
      <c r="BW88" s="538"/>
      <c r="BX88" s="538"/>
      <c r="BY88" s="538"/>
      <c r="BZ88" s="538"/>
      <c r="CA88" s="538"/>
      <c r="CB88" s="538"/>
    </row>
    <row r="89" spans="2:80" s="156" customFormat="1" ht="9" customHeight="1" x14ac:dyDescent="0.25">
      <c r="B89" s="158"/>
      <c r="C89" s="157"/>
      <c r="D89" s="157"/>
      <c r="E89" s="157"/>
      <c r="F89" s="157"/>
      <c r="G89" s="157"/>
      <c r="H89" s="157"/>
      <c r="I89" s="157"/>
      <c r="J89" s="159"/>
      <c r="K89" s="157"/>
      <c r="L89" s="158"/>
      <c r="M89" s="157"/>
      <c r="N89" s="157"/>
      <c r="O89" s="157"/>
      <c r="P89" s="157"/>
      <c r="Q89" s="157"/>
      <c r="R89" s="157"/>
      <c r="S89" s="157"/>
      <c r="T89" s="159"/>
      <c r="U89" s="157"/>
      <c r="V89" s="158"/>
      <c r="W89" s="157"/>
      <c r="X89" s="157"/>
      <c r="Y89" s="157"/>
      <c r="Z89" s="157"/>
      <c r="AA89" s="157"/>
      <c r="AB89" s="157"/>
      <c r="AC89" s="157"/>
      <c r="AD89" s="159"/>
      <c r="AE89" s="157"/>
      <c r="AF89" s="158"/>
      <c r="AG89" s="157"/>
      <c r="AH89" s="157"/>
      <c r="AI89" s="157"/>
      <c r="AJ89" s="157"/>
      <c r="AK89" s="157"/>
      <c r="AL89" s="157"/>
      <c r="AM89" s="157"/>
      <c r="AN89" s="159"/>
      <c r="AO89" s="157"/>
      <c r="AP89" s="158"/>
      <c r="AQ89" s="157"/>
      <c r="AR89" s="157"/>
      <c r="AS89" s="157"/>
      <c r="AT89" s="157"/>
      <c r="AU89" s="157"/>
      <c r="AV89" s="157"/>
      <c r="AW89" s="157"/>
      <c r="AX89" s="159"/>
      <c r="AY89" s="157"/>
      <c r="AZ89" s="187"/>
      <c r="BA89" s="149"/>
      <c r="BB89" s="149"/>
      <c r="BC89" s="149"/>
      <c r="BD89" s="149"/>
      <c r="BE89" s="149"/>
      <c r="BF89" s="149"/>
      <c r="BG89" s="149"/>
      <c r="BH89" s="181"/>
      <c r="BI89" s="159"/>
      <c r="BJ89" s="488" t="s">
        <v>471</v>
      </c>
      <c r="BK89" s="489"/>
      <c r="BL89" s="489"/>
      <c r="BM89" s="489"/>
      <c r="BN89" s="489"/>
      <c r="BO89" s="489"/>
      <c r="BP89" s="489"/>
      <c r="BQ89" s="489"/>
      <c r="BR89" s="490"/>
      <c r="BT89" s="188"/>
      <c r="BU89" s="188"/>
      <c r="BV89" s="188"/>
      <c r="BW89" s="188"/>
      <c r="BX89" s="188"/>
      <c r="BY89" s="188"/>
      <c r="BZ89" s="188"/>
      <c r="CA89" s="188"/>
      <c r="CB89" s="188"/>
    </row>
    <row r="90" spans="2:80" s="156" customFormat="1" ht="9" customHeight="1" x14ac:dyDescent="0.25">
      <c r="B90" s="158"/>
      <c r="C90" s="157"/>
      <c r="D90" s="157"/>
      <c r="E90" s="157"/>
      <c r="F90" s="157"/>
      <c r="G90" s="157"/>
      <c r="H90" s="157"/>
      <c r="I90" s="157"/>
      <c r="J90" s="159"/>
      <c r="K90" s="157"/>
      <c r="L90" s="158"/>
      <c r="M90" s="157"/>
      <c r="N90" s="157"/>
      <c r="O90" s="157"/>
      <c r="P90" s="157"/>
      <c r="Q90" s="157"/>
      <c r="R90" s="157"/>
      <c r="S90" s="157"/>
      <c r="T90" s="159"/>
      <c r="U90" s="157"/>
      <c r="V90" s="158"/>
      <c r="W90" s="157"/>
      <c r="X90" s="157"/>
      <c r="Y90" s="157"/>
      <c r="Z90" s="157"/>
      <c r="AA90" s="157"/>
      <c r="AB90" s="157"/>
      <c r="AC90" s="157"/>
      <c r="AD90" s="159"/>
      <c r="AE90" s="157"/>
      <c r="AF90" s="158"/>
      <c r="AG90" s="157"/>
      <c r="AH90" s="157"/>
      <c r="AI90" s="157"/>
      <c r="AJ90" s="157"/>
      <c r="AK90" s="157"/>
      <c r="AL90" s="157"/>
      <c r="AM90" s="157"/>
      <c r="AN90" s="159"/>
      <c r="AO90" s="157"/>
      <c r="AP90" s="158"/>
      <c r="AQ90" s="157"/>
      <c r="AR90" s="157"/>
      <c r="AS90" s="157"/>
      <c r="AT90" s="157"/>
      <c r="AU90" s="157"/>
      <c r="AV90" s="157"/>
      <c r="AW90" s="157"/>
      <c r="AX90" s="159"/>
      <c r="AY90" s="157"/>
      <c r="AZ90" s="187"/>
      <c r="BA90" s="149"/>
      <c r="BB90" s="149"/>
      <c r="BC90" s="149"/>
      <c r="BD90" s="149"/>
      <c r="BE90" s="149"/>
      <c r="BF90" s="149"/>
      <c r="BG90" s="149"/>
      <c r="BH90" s="181"/>
      <c r="BI90" s="159"/>
      <c r="BJ90" s="162"/>
      <c r="BK90" s="162"/>
      <c r="BL90" s="162"/>
      <c r="BM90" s="162"/>
      <c r="BN90" s="162"/>
      <c r="BO90" s="162"/>
      <c r="BP90" s="162"/>
      <c r="BQ90" s="162"/>
      <c r="BR90" s="163"/>
      <c r="BT90" s="188"/>
      <c r="BU90" s="188"/>
      <c r="BV90" s="188"/>
      <c r="BW90" s="188"/>
      <c r="BX90" s="188"/>
      <c r="BY90" s="188"/>
      <c r="BZ90" s="188"/>
      <c r="CA90" s="188"/>
      <c r="CB90" s="188"/>
    </row>
    <row r="91" spans="2:80" s="156" customFormat="1" ht="9" customHeight="1" x14ac:dyDescent="0.25">
      <c r="B91" s="158"/>
      <c r="C91" s="157"/>
      <c r="D91" s="157"/>
      <c r="E91" s="157"/>
      <c r="F91" s="157"/>
      <c r="G91" s="157"/>
      <c r="H91" s="157"/>
      <c r="I91" s="157"/>
      <c r="J91" s="159"/>
      <c r="K91" s="157"/>
      <c r="L91" s="158"/>
      <c r="M91" s="157"/>
      <c r="N91" s="157"/>
      <c r="O91" s="157"/>
      <c r="P91" s="157"/>
      <c r="Q91" s="157"/>
      <c r="R91" s="157"/>
      <c r="S91" s="157"/>
      <c r="T91" s="159"/>
      <c r="U91" s="157"/>
      <c r="V91" s="158"/>
      <c r="W91" s="157"/>
      <c r="X91" s="157"/>
      <c r="Y91" s="157"/>
      <c r="Z91" s="157"/>
      <c r="AA91" s="157"/>
      <c r="AB91" s="157"/>
      <c r="AC91" s="157"/>
      <c r="AD91" s="159"/>
      <c r="AE91" s="157"/>
      <c r="AF91" s="158"/>
      <c r="AG91" s="157"/>
      <c r="AH91" s="157"/>
      <c r="AI91" s="157"/>
      <c r="AJ91" s="157"/>
      <c r="AK91" s="157"/>
      <c r="AL91" s="157"/>
      <c r="AM91" s="157"/>
      <c r="AN91" s="159"/>
      <c r="AO91" s="157"/>
      <c r="AP91" s="158"/>
      <c r="AQ91" s="157"/>
      <c r="AR91" s="157"/>
      <c r="AS91" s="157"/>
      <c r="AT91" s="157"/>
      <c r="AU91" s="157"/>
      <c r="AV91" s="157"/>
      <c r="AW91" s="157"/>
      <c r="AX91" s="159"/>
      <c r="AY91" s="157"/>
      <c r="AZ91" s="187"/>
      <c r="BA91" s="149"/>
      <c r="BB91" s="149"/>
      <c r="BC91" s="149"/>
      <c r="BD91" s="149"/>
      <c r="BE91" s="149"/>
      <c r="BF91" s="149"/>
      <c r="BG91" s="149"/>
      <c r="BH91" s="181"/>
      <c r="BI91" s="159"/>
      <c r="BJ91" s="162"/>
      <c r="BK91" s="162"/>
      <c r="BL91" s="162"/>
      <c r="BM91" s="162"/>
      <c r="BN91" s="162"/>
      <c r="BO91" s="162"/>
      <c r="BP91" s="162"/>
      <c r="BQ91" s="162"/>
      <c r="BR91" s="163"/>
      <c r="BT91" s="188"/>
      <c r="BU91" s="188"/>
      <c r="BV91" s="188"/>
      <c r="BW91" s="188"/>
      <c r="BX91" s="188"/>
      <c r="BY91" s="188"/>
      <c r="BZ91" s="188"/>
      <c r="CA91" s="188"/>
      <c r="CB91" s="188"/>
    </row>
    <row r="92" spans="2:80" s="156" customFormat="1" ht="9" customHeight="1" x14ac:dyDescent="0.25">
      <c r="B92" s="158"/>
      <c r="C92" s="157"/>
      <c r="D92" s="157"/>
      <c r="E92" s="157"/>
      <c r="F92" s="157"/>
      <c r="G92" s="157"/>
      <c r="H92" s="157"/>
      <c r="I92" s="157"/>
      <c r="J92" s="159"/>
      <c r="K92" s="157"/>
      <c r="L92" s="158"/>
      <c r="M92" s="157"/>
      <c r="N92" s="157"/>
      <c r="O92" s="157"/>
      <c r="P92" s="157"/>
      <c r="Q92" s="157"/>
      <c r="R92" s="157"/>
      <c r="S92" s="157"/>
      <c r="T92" s="159"/>
      <c r="U92" s="157"/>
      <c r="V92" s="158"/>
      <c r="W92" s="157"/>
      <c r="X92" s="157"/>
      <c r="Y92" s="157"/>
      <c r="Z92" s="157"/>
      <c r="AA92" s="157"/>
      <c r="AB92" s="157"/>
      <c r="AC92" s="157"/>
      <c r="AD92" s="159"/>
      <c r="AE92" s="157"/>
      <c r="AF92" s="158"/>
      <c r="AG92" s="157"/>
      <c r="AH92" s="157"/>
      <c r="AI92" s="157"/>
      <c r="AJ92" s="157"/>
      <c r="AK92" s="157"/>
      <c r="AL92" s="157"/>
      <c r="AM92" s="157"/>
      <c r="AN92" s="159"/>
      <c r="AO92" s="157"/>
      <c r="AP92" s="158"/>
      <c r="AQ92" s="157"/>
      <c r="AR92" s="157"/>
      <c r="AS92" s="157"/>
      <c r="AT92" s="157"/>
      <c r="AU92" s="157"/>
      <c r="AV92" s="157"/>
      <c r="AW92" s="157"/>
      <c r="AX92" s="159"/>
      <c r="AY92" s="157"/>
      <c r="AZ92" s="187"/>
      <c r="BA92" s="149"/>
      <c r="BB92" s="149"/>
      <c r="BC92" s="149"/>
      <c r="BD92" s="149"/>
      <c r="BE92" s="149"/>
      <c r="BF92" s="149"/>
      <c r="BG92" s="149"/>
      <c r="BH92" s="181"/>
      <c r="BI92" s="159"/>
      <c r="BJ92" s="149"/>
      <c r="BK92" s="149"/>
      <c r="BL92" s="149"/>
      <c r="BM92" s="149"/>
      <c r="BN92" s="149"/>
      <c r="BO92" s="149"/>
      <c r="BP92" s="149"/>
      <c r="BQ92" s="149"/>
      <c r="BR92" s="181"/>
      <c r="BT92" s="188"/>
      <c r="BU92" s="188"/>
      <c r="BV92" s="188"/>
      <c r="BW92" s="188"/>
      <c r="BX92" s="188"/>
      <c r="BY92" s="188"/>
      <c r="BZ92" s="188"/>
      <c r="CA92" s="188"/>
      <c r="CB92" s="188"/>
    </row>
    <row r="93" spans="2:80" s="156" customFormat="1" ht="9" customHeight="1" x14ac:dyDescent="0.25">
      <c r="B93" s="491" t="s">
        <v>373</v>
      </c>
      <c r="C93" s="491"/>
      <c r="D93" s="491"/>
      <c r="E93" s="491"/>
      <c r="F93" s="491"/>
      <c r="G93" s="492">
        <f>CEILING(5652*A3,1)</f>
        <v>10739</v>
      </c>
      <c r="H93" s="492"/>
      <c r="I93" s="492"/>
      <c r="J93" s="492"/>
      <c r="K93" s="126"/>
      <c r="L93" s="491" t="s">
        <v>472</v>
      </c>
      <c r="M93" s="491"/>
      <c r="N93" s="491"/>
      <c r="O93" s="491"/>
      <c r="P93" s="491"/>
      <c r="Q93" s="492">
        <f>CEILING(1272*A3,1)</f>
        <v>2417</v>
      </c>
      <c r="R93" s="492"/>
      <c r="S93" s="492"/>
      <c r="T93" s="492"/>
      <c r="U93" s="126"/>
      <c r="V93" s="491" t="s">
        <v>472</v>
      </c>
      <c r="W93" s="491"/>
      <c r="X93" s="491"/>
      <c r="Y93" s="491"/>
      <c r="Z93" s="491"/>
      <c r="AA93" s="492">
        <f>CEILING(2243*A3,1)</f>
        <v>4262</v>
      </c>
      <c r="AB93" s="492"/>
      <c r="AC93" s="492"/>
      <c r="AD93" s="492"/>
      <c r="AE93" s="126"/>
      <c r="AF93" s="491" t="s">
        <v>473</v>
      </c>
      <c r="AG93" s="491"/>
      <c r="AH93" s="491"/>
      <c r="AI93" s="491"/>
      <c r="AJ93" s="491"/>
      <c r="AK93" s="492">
        <f>CEILING(1750*A3,1)</f>
        <v>3325</v>
      </c>
      <c r="AL93" s="492"/>
      <c r="AM93" s="492"/>
      <c r="AN93" s="492"/>
      <c r="AO93" s="126"/>
      <c r="AP93" s="491" t="s">
        <v>473</v>
      </c>
      <c r="AQ93" s="491"/>
      <c r="AR93" s="491"/>
      <c r="AS93" s="491"/>
      <c r="AT93" s="491"/>
      <c r="AU93" s="492">
        <f>CEILING(1697*A3,1)</f>
        <v>3225</v>
      </c>
      <c r="AV93" s="492"/>
      <c r="AW93" s="492"/>
      <c r="AX93" s="492"/>
      <c r="AY93" s="129"/>
      <c r="AZ93" s="152"/>
      <c r="BA93" s="134"/>
      <c r="BB93" s="134"/>
      <c r="BC93" s="134"/>
      <c r="BD93" s="134"/>
      <c r="BE93" s="134"/>
      <c r="BF93" s="134"/>
      <c r="BG93" s="134"/>
      <c r="BH93" s="135"/>
      <c r="BI93" s="130"/>
      <c r="BJ93" s="134"/>
      <c r="BK93" s="134"/>
      <c r="BL93" s="134"/>
      <c r="BM93" s="134"/>
      <c r="BN93" s="134"/>
      <c r="BO93" s="134"/>
      <c r="BP93" s="134"/>
      <c r="BQ93" s="134"/>
      <c r="BR93" s="135"/>
      <c r="BT93" s="188"/>
      <c r="BU93" s="188"/>
      <c r="BV93" s="188"/>
      <c r="BW93" s="188"/>
      <c r="BX93" s="188"/>
      <c r="BY93" s="188"/>
      <c r="BZ93" s="188"/>
      <c r="CA93" s="188"/>
      <c r="CB93" s="188"/>
    </row>
    <row r="94" spans="2:80" s="156" customFormat="1" ht="9" customHeight="1" x14ac:dyDescent="0.25">
      <c r="B94" s="491" t="s">
        <v>390</v>
      </c>
      <c r="C94" s="491"/>
      <c r="D94" s="491"/>
      <c r="E94" s="491"/>
      <c r="F94" s="491"/>
      <c r="G94" s="492">
        <f>CEILING(6033*A3,1)</f>
        <v>11463</v>
      </c>
      <c r="H94" s="492"/>
      <c r="I94" s="492"/>
      <c r="J94" s="492"/>
      <c r="K94" s="126"/>
      <c r="L94" s="491" t="s">
        <v>474</v>
      </c>
      <c r="M94" s="491"/>
      <c r="N94" s="491"/>
      <c r="O94" s="491"/>
      <c r="P94" s="491"/>
      <c r="Q94" s="492">
        <f>CEILING(1526*A3,1)</f>
        <v>2900</v>
      </c>
      <c r="R94" s="492"/>
      <c r="S94" s="492"/>
      <c r="T94" s="492"/>
      <c r="U94" s="126"/>
      <c r="V94" s="491" t="s">
        <v>474</v>
      </c>
      <c r="W94" s="491"/>
      <c r="X94" s="491"/>
      <c r="Y94" s="491"/>
      <c r="Z94" s="491"/>
      <c r="AA94" s="492">
        <f>CEILING(2555*A3,1)</f>
        <v>4855</v>
      </c>
      <c r="AB94" s="492"/>
      <c r="AC94" s="492"/>
      <c r="AD94" s="492"/>
      <c r="AE94" s="126"/>
      <c r="AF94" s="491" t="s">
        <v>475</v>
      </c>
      <c r="AG94" s="491"/>
      <c r="AH94" s="491"/>
      <c r="AI94" s="491"/>
      <c r="AJ94" s="491"/>
      <c r="AK94" s="492">
        <f>CEILING(1866*A3,1)</f>
        <v>3546</v>
      </c>
      <c r="AL94" s="492"/>
      <c r="AM94" s="492"/>
      <c r="AN94" s="492"/>
      <c r="AO94" s="126"/>
      <c r="AP94" s="491" t="s">
        <v>475</v>
      </c>
      <c r="AQ94" s="491"/>
      <c r="AR94" s="491"/>
      <c r="AS94" s="491"/>
      <c r="AT94" s="491"/>
      <c r="AU94" s="492">
        <f>CEILING(1812*A3,1)</f>
        <v>3443</v>
      </c>
      <c r="AV94" s="492"/>
      <c r="AW94" s="492"/>
      <c r="AX94" s="492"/>
      <c r="AY94" s="153"/>
      <c r="AZ94" s="491" t="s">
        <v>476</v>
      </c>
      <c r="BA94" s="491"/>
      <c r="BB94" s="491"/>
      <c r="BC94" s="491"/>
      <c r="BD94" s="491"/>
      <c r="BE94" s="492">
        <f>CEILING(287*A3,1)</f>
        <v>546</v>
      </c>
      <c r="BF94" s="492"/>
      <c r="BG94" s="492"/>
      <c r="BH94" s="492"/>
      <c r="BI94" s="139"/>
      <c r="BJ94" s="506" t="s">
        <v>477</v>
      </c>
      <c r="BK94" s="507"/>
      <c r="BL94" s="507"/>
      <c r="BM94" s="491"/>
      <c r="BN94" s="508"/>
      <c r="BO94" s="492">
        <f>CEILING(360*A3,1)</f>
        <v>684</v>
      </c>
      <c r="BP94" s="509"/>
      <c r="BQ94" s="510"/>
      <c r="BR94" s="511"/>
      <c r="BT94" s="536"/>
      <c r="BU94" s="536"/>
      <c r="BV94" s="536"/>
      <c r="BW94" s="536"/>
      <c r="BX94" s="536"/>
      <c r="BY94" s="538"/>
      <c r="BZ94" s="538"/>
      <c r="CA94" s="538"/>
      <c r="CB94" s="538"/>
    </row>
    <row r="95" spans="2:80" s="156" customFormat="1" ht="9" x14ac:dyDescent="0.25"/>
    <row r="96" spans="2:80" s="156" customFormat="1" ht="9" x14ac:dyDescent="0.25"/>
    <row r="97" s="156" customFormat="1" ht="9" x14ac:dyDescent="0.25"/>
  </sheetData>
  <mergeCells count="352">
    <mergeCell ref="BP17:BR17"/>
    <mergeCell ref="BJ17:BN17"/>
    <mergeCell ref="BP18:BR18"/>
    <mergeCell ref="BJ18:BN18"/>
    <mergeCell ref="BJ51:BL51"/>
    <mergeCell ref="BJ48:BN48"/>
    <mergeCell ref="BP49:BR49"/>
    <mergeCell ref="BJ49:BN49"/>
    <mergeCell ref="BP32:BR32"/>
    <mergeCell ref="BJ32:BN32"/>
    <mergeCell ref="BP34:BR34"/>
    <mergeCell ref="BJ34:BN34"/>
    <mergeCell ref="BJ38:BR38"/>
    <mergeCell ref="BY94:CB94"/>
    <mergeCell ref="BT94:BX94"/>
    <mergeCell ref="BP77:BR77"/>
    <mergeCell ref="BJ77:BN77"/>
    <mergeCell ref="BP79:BR79"/>
    <mergeCell ref="BJ79:BN79"/>
    <mergeCell ref="BE94:BH94"/>
    <mergeCell ref="BJ94:BN94"/>
    <mergeCell ref="BO94:BR94"/>
    <mergeCell ref="BT88:BV88"/>
    <mergeCell ref="BW88:CB88"/>
    <mergeCell ref="BY87:CB87"/>
    <mergeCell ref="BJ81:BL81"/>
    <mergeCell ref="BM81:BR81"/>
    <mergeCell ref="BT81:BV81"/>
    <mergeCell ref="BW81:CB81"/>
    <mergeCell ref="B2:BR2"/>
    <mergeCell ref="BP64:BR64"/>
    <mergeCell ref="BJ64:BN64"/>
    <mergeCell ref="BN51:BR51"/>
    <mergeCell ref="AA94:AD94"/>
    <mergeCell ref="AF94:AJ94"/>
    <mergeCell ref="AK94:AN94"/>
    <mergeCell ref="AP94:AT94"/>
    <mergeCell ref="AU94:AX94"/>
    <mergeCell ref="AZ94:BD94"/>
    <mergeCell ref="AA93:AD93"/>
    <mergeCell ref="AF93:AJ93"/>
    <mergeCell ref="AK93:AN93"/>
    <mergeCell ref="AP93:AT93"/>
    <mergeCell ref="AU93:AX93"/>
    <mergeCell ref="B94:F94"/>
    <mergeCell ref="G94:J94"/>
    <mergeCell ref="L94:P94"/>
    <mergeCell ref="Q94:T94"/>
    <mergeCell ref="V94:Z94"/>
    <mergeCell ref="BJ88:BL88"/>
    <mergeCell ref="BM88:BR88"/>
    <mergeCell ref="BJ89:BR89"/>
    <mergeCell ref="B93:F93"/>
    <mergeCell ref="G93:J93"/>
    <mergeCell ref="L93:P93"/>
    <mergeCell ref="Q93:T93"/>
    <mergeCell ref="V93:Z93"/>
    <mergeCell ref="BJ82:BR82"/>
    <mergeCell ref="B83:J83"/>
    <mergeCell ref="BJ87:BN87"/>
    <mergeCell ref="BO87:BR87"/>
    <mergeCell ref="BT87:BX87"/>
    <mergeCell ref="B82:J82"/>
    <mergeCell ref="L82:T82"/>
    <mergeCell ref="V82:AD82"/>
    <mergeCell ref="AF82:AN82"/>
    <mergeCell ref="AP82:AX82"/>
    <mergeCell ref="AZ82:BH82"/>
    <mergeCell ref="AF81:AH81"/>
    <mergeCell ref="AI81:AN81"/>
    <mergeCell ref="AP81:AR81"/>
    <mergeCell ref="AS81:AX81"/>
    <mergeCell ref="AZ81:BB81"/>
    <mergeCell ref="BC81:BH81"/>
    <mergeCell ref="B81:D81"/>
    <mergeCell ref="E81:J81"/>
    <mergeCell ref="L81:N81"/>
    <mergeCell ref="O81:T81"/>
    <mergeCell ref="V81:X81"/>
    <mergeCell ref="Y81:AD81"/>
    <mergeCell ref="AP79:AT79"/>
    <mergeCell ref="AU79:AX79"/>
    <mergeCell ref="AZ79:BD79"/>
    <mergeCell ref="BE79:BH79"/>
    <mergeCell ref="BJ78:BN78"/>
    <mergeCell ref="BO78:BR78"/>
    <mergeCell ref="B79:F79"/>
    <mergeCell ref="G79:J79"/>
    <mergeCell ref="L79:P79"/>
    <mergeCell ref="Q79:T79"/>
    <mergeCell ref="V79:Z79"/>
    <mergeCell ref="AA79:AD79"/>
    <mergeCell ref="AF79:AJ79"/>
    <mergeCell ref="AK79:AN79"/>
    <mergeCell ref="AF78:AJ78"/>
    <mergeCell ref="AK78:AN78"/>
    <mergeCell ref="AP78:AT78"/>
    <mergeCell ref="AU78:AX78"/>
    <mergeCell ref="AZ78:BD78"/>
    <mergeCell ref="BE78:BH78"/>
    <mergeCell ref="B77:F77"/>
    <mergeCell ref="G77:J77"/>
    <mergeCell ref="B78:F78"/>
    <mergeCell ref="G78:J78"/>
    <mergeCell ref="L78:P78"/>
    <mergeCell ref="Q78:T78"/>
    <mergeCell ref="V78:Z78"/>
    <mergeCell ref="AA78:AD78"/>
    <mergeCell ref="B68:J68"/>
    <mergeCell ref="L68:T68"/>
    <mergeCell ref="V68:AD68"/>
    <mergeCell ref="AF68:AN68"/>
    <mergeCell ref="AP68:AX68"/>
    <mergeCell ref="V69:AD69"/>
    <mergeCell ref="AF69:AN69"/>
    <mergeCell ref="AP69:AX69"/>
    <mergeCell ref="BJ66:BL66"/>
    <mergeCell ref="BM66:BR66"/>
    <mergeCell ref="B67:J67"/>
    <mergeCell ref="L67:T67"/>
    <mergeCell ref="V67:AD67"/>
    <mergeCell ref="AF67:AN67"/>
    <mergeCell ref="AP67:AX67"/>
    <mergeCell ref="AF66:AH66"/>
    <mergeCell ref="AI66:AN66"/>
    <mergeCell ref="AP66:AR66"/>
    <mergeCell ref="AS66:AX66"/>
    <mergeCell ref="AZ66:BB66"/>
    <mergeCell ref="BC66:BH66"/>
    <mergeCell ref="B66:D66"/>
    <mergeCell ref="E66:J66"/>
    <mergeCell ref="L66:N66"/>
    <mergeCell ref="O66:T66"/>
    <mergeCell ref="V66:X66"/>
    <mergeCell ref="Y66:AD66"/>
    <mergeCell ref="AP64:AT64"/>
    <mergeCell ref="AU64:AX64"/>
    <mergeCell ref="AZ64:BD64"/>
    <mergeCell ref="BE64:BH64"/>
    <mergeCell ref="AK63:AN63"/>
    <mergeCell ref="AP63:AT63"/>
    <mergeCell ref="AU63:AX63"/>
    <mergeCell ref="B64:F64"/>
    <mergeCell ref="G64:J64"/>
    <mergeCell ref="L64:P64"/>
    <mergeCell ref="Q64:T64"/>
    <mergeCell ref="V64:AD64"/>
    <mergeCell ref="AF64:AJ64"/>
    <mergeCell ref="AK64:AN64"/>
    <mergeCell ref="B63:F63"/>
    <mergeCell ref="G63:J63"/>
    <mergeCell ref="L63:P63"/>
    <mergeCell ref="Q63:T63"/>
    <mergeCell ref="V63:AD63"/>
    <mergeCell ref="AF63:AJ63"/>
    <mergeCell ref="B62:F62"/>
    <mergeCell ref="G62:J62"/>
    <mergeCell ref="AF62:AJ62"/>
    <mergeCell ref="AK62:AN62"/>
    <mergeCell ref="AP62:AT62"/>
    <mergeCell ref="AU62:AX62"/>
    <mergeCell ref="AS51:AX51"/>
    <mergeCell ref="AZ51:BB51"/>
    <mergeCell ref="BC51:BH51"/>
    <mergeCell ref="B52:J52"/>
    <mergeCell ref="L52:T52"/>
    <mergeCell ref="V52:AD52"/>
    <mergeCell ref="AP52:AX52"/>
    <mergeCell ref="AZ52:BH52"/>
    <mergeCell ref="AU49:AX49"/>
    <mergeCell ref="AZ49:BD49"/>
    <mergeCell ref="BE49:BH49"/>
    <mergeCell ref="B51:D51"/>
    <mergeCell ref="E51:J51"/>
    <mergeCell ref="AF51:AH51"/>
    <mergeCell ref="AI51:AN51"/>
    <mergeCell ref="AP51:AR51"/>
    <mergeCell ref="BO48:BR48"/>
    <mergeCell ref="B49:F49"/>
    <mergeCell ref="G49:J49"/>
    <mergeCell ref="L49:P49"/>
    <mergeCell ref="Q49:T49"/>
    <mergeCell ref="V49:Z49"/>
    <mergeCell ref="AA49:AD49"/>
    <mergeCell ref="AF49:AJ49"/>
    <mergeCell ref="AK49:AN49"/>
    <mergeCell ref="AP49:AT49"/>
    <mergeCell ref="AK48:AN48"/>
    <mergeCell ref="AP48:AT48"/>
    <mergeCell ref="AU48:AX48"/>
    <mergeCell ref="AZ48:BD48"/>
    <mergeCell ref="BE48:BH48"/>
    <mergeCell ref="AU47:AX47"/>
    <mergeCell ref="AZ47:BD47"/>
    <mergeCell ref="BE47:BH47"/>
    <mergeCell ref="B48:F48"/>
    <mergeCell ref="G48:J48"/>
    <mergeCell ref="L48:P48"/>
    <mergeCell ref="Q48:T48"/>
    <mergeCell ref="V48:Z48"/>
    <mergeCell ref="AA48:AD48"/>
    <mergeCell ref="AF48:AJ48"/>
    <mergeCell ref="B47:F47"/>
    <mergeCell ref="G47:J47"/>
    <mergeCell ref="L47:P47"/>
    <mergeCell ref="Q47:T47"/>
    <mergeCell ref="V47:Z47"/>
    <mergeCell ref="AA47:AD47"/>
    <mergeCell ref="AF47:AJ47"/>
    <mergeCell ref="AK47:AN47"/>
    <mergeCell ref="AP47:AT47"/>
    <mergeCell ref="B38:J38"/>
    <mergeCell ref="L38:T38"/>
    <mergeCell ref="V38:AD38"/>
    <mergeCell ref="AF38:AN38"/>
    <mergeCell ref="AP38:AX38"/>
    <mergeCell ref="AZ38:BH38"/>
    <mergeCell ref="BJ36:BL36"/>
    <mergeCell ref="BM36:BR36"/>
    <mergeCell ref="B37:J37"/>
    <mergeCell ref="L37:T37"/>
    <mergeCell ref="V37:AD37"/>
    <mergeCell ref="AF37:AN37"/>
    <mergeCell ref="AP37:AX37"/>
    <mergeCell ref="AZ37:BH37"/>
    <mergeCell ref="BJ37:BR37"/>
    <mergeCell ref="AF36:AH36"/>
    <mergeCell ref="AI36:AN36"/>
    <mergeCell ref="AP36:AR36"/>
    <mergeCell ref="AS36:AX36"/>
    <mergeCell ref="AZ36:BB36"/>
    <mergeCell ref="BC36:BH36"/>
    <mergeCell ref="B36:D36"/>
    <mergeCell ref="E36:J36"/>
    <mergeCell ref="L36:N36"/>
    <mergeCell ref="O36:T36"/>
    <mergeCell ref="V36:X36"/>
    <mergeCell ref="Y36:AD36"/>
    <mergeCell ref="AP34:AT34"/>
    <mergeCell ref="AU34:AX34"/>
    <mergeCell ref="AZ34:BD34"/>
    <mergeCell ref="BE34:BH34"/>
    <mergeCell ref="BJ33:BN33"/>
    <mergeCell ref="BO33:BR33"/>
    <mergeCell ref="AP33:AT33"/>
    <mergeCell ref="AU33:AX33"/>
    <mergeCell ref="AZ33:BD33"/>
    <mergeCell ref="BE33:BH33"/>
    <mergeCell ref="B34:F34"/>
    <mergeCell ref="G34:J34"/>
    <mergeCell ref="L34:P34"/>
    <mergeCell ref="Q34:T34"/>
    <mergeCell ref="V34:Z34"/>
    <mergeCell ref="AA34:AD34"/>
    <mergeCell ref="AF34:AJ34"/>
    <mergeCell ref="AK34:AN34"/>
    <mergeCell ref="AF33:AJ33"/>
    <mergeCell ref="AK33:AN33"/>
    <mergeCell ref="B33:F33"/>
    <mergeCell ref="G33:J33"/>
    <mergeCell ref="L33:P33"/>
    <mergeCell ref="Q33:T33"/>
    <mergeCell ref="V33:Z33"/>
    <mergeCell ref="AA33:AD33"/>
    <mergeCell ref="B32:F32"/>
    <mergeCell ref="G32:J32"/>
    <mergeCell ref="Q32:T32"/>
    <mergeCell ref="AK32:AN32"/>
    <mergeCell ref="BJ22:BR22"/>
    <mergeCell ref="B23:J23"/>
    <mergeCell ref="L23:T23"/>
    <mergeCell ref="V23:AD23"/>
    <mergeCell ref="AF23:AN23"/>
    <mergeCell ref="AP23:AX23"/>
    <mergeCell ref="AZ23:BH23"/>
    <mergeCell ref="BJ23:BR23"/>
    <mergeCell ref="B22:J22"/>
    <mergeCell ref="L22:T22"/>
    <mergeCell ref="V22:AD22"/>
    <mergeCell ref="AF22:AN22"/>
    <mergeCell ref="AP22:AX22"/>
    <mergeCell ref="AZ22:BH22"/>
    <mergeCell ref="AP21:AR21"/>
    <mergeCell ref="AS21:AX21"/>
    <mergeCell ref="AZ21:BB21"/>
    <mergeCell ref="BC21:BH21"/>
    <mergeCell ref="BJ19:BN19"/>
    <mergeCell ref="BO19:BR19"/>
    <mergeCell ref="B21:D21"/>
    <mergeCell ref="E21:J21"/>
    <mergeCell ref="L21:N21"/>
    <mergeCell ref="O21:T21"/>
    <mergeCell ref="V21:X21"/>
    <mergeCell ref="Y21:AD21"/>
    <mergeCell ref="AF21:AH21"/>
    <mergeCell ref="AI21:AN21"/>
    <mergeCell ref="AF19:AJ19"/>
    <mergeCell ref="AK19:AN19"/>
    <mergeCell ref="AP19:AT19"/>
    <mergeCell ref="AU19:AX19"/>
    <mergeCell ref="AZ19:BD19"/>
    <mergeCell ref="BE19:BH19"/>
    <mergeCell ref="BN21:BR21"/>
    <mergeCell ref="BJ21:BL21"/>
    <mergeCell ref="AZ18:BD18"/>
    <mergeCell ref="BE18:BH18"/>
    <mergeCell ref="B19:F19"/>
    <mergeCell ref="G19:J19"/>
    <mergeCell ref="L19:P19"/>
    <mergeCell ref="Q19:T19"/>
    <mergeCell ref="V19:Z19"/>
    <mergeCell ref="AA19:AD19"/>
    <mergeCell ref="B18:F18"/>
    <mergeCell ref="G18:J18"/>
    <mergeCell ref="L18:P18"/>
    <mergeCell ref="Q18:T18"/>
    <mergeCell ref="AP18:AT18"/>
    <mergeCell ref="AU18:AX18"/>
    <mergeCell ref="AP17:AT17"/>
    <mergeCell ref="AU17:AX17"/>
    <mergeCell ref="AZ17:BD17"/>
    <mergeCell ref="BE17:BH17"/>
    <mergeCell ref="B16:F16"/>
    <mergeCell ref="G16:J16"/>
    <mergeCell ref="B17:F17"/>
    <mergeCell ref="G17:J17"/>
    <mergeCell ref="L17:P17"/>
    <mergeCell ref="Q17:T17"/>
    <mergeCell ref="A3:J3"/>
    <mergeCell ref="L3:BR3"/>
    <mergeCell ref="BJ1:BS1"/>
    <mergeCell ref="BJ5:BL5"/>
    <mergeCell ref="BM5:BR5"/>
    <mergeCell ref="B6:J6"/>
    <mergeCell ref="L6:T6"/>
    <mergeCell ref="V6:AD6"/>
    <mergeCell ref="AF6:AN6"/>
    <mergeCell ref="AP6:AX6"/>
    <mergeCell ref="AZ6:BH6"/>
    <mergeCell ref="BJ6:BR6"/>
    <mergeCell ref="AF5:AH5"/>
    <mergeCell ref="AI5:AN5"/>
    <mergeCell ref="AP5:AR5"/>
    <mergeCell ref="AS5:AX5"/>
    <mergeCell ref="AZ5:BB5"/>
    <mergeCell ref="BC5:BH5"/>
    <mergeCell ref="B5:D5"/>
    <mergeCell ref="E5:J5"/>
    <mergeCell ref="L5:N5"/>
    <mergeCell ref="O5:T5"/>
    <mergeCell ref="V5:X5"/>
    <mergeCell ref="Y5:AD5"/>
  </mergeCells>
  <hyperlinks>
    <hyperlink ref="BJ1" location="ОГЛАВЛЕНИЕ!R1C1" display="ОГЛАВЛЕНИЕ!R1C1" xr:uid="{C3BBF5DE-C97A-4623-B82E-D6FB522E1BFE}"/>
  </hyperlinks>
  <pageMargins left="0.25" right="0.25" top="0.75" bottom="0.75" header="0.3" footer="0.3"/>
  <pageSetup paperSize="9" scale="6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7C860-C268-46C7-84AB-B132BAAE1ED4}">
  <sheetPr>
    <tabColor theme="5" tint="0.59999389629810485"/>
  </sheetPr>
  <dimension ref="A1:CB92"/>
  <sheetViews>
    <sheetView showGridLines="0" zoomScaleNormal="100" zoomScaleSheetLayoutView="115" workbookViewId="0">
      <selection activeCell="BJ1" sqref="BJ1:BS1"/>
    </sheetView>
  </sheetViews>
  <sheetFormatPr defaultRowHeight="8.25" x14ac:dyDescent="0.25"/>
  <cols>
    <col min="1" max="1" width="0.28515625" style="193" customWidth="1"/>
    <col min="2" max="9" width="1.7109375" style="193" customWidth="1"/>
    <col min="10" max="10" width="3.140625" style="193" customWidth="1"/>
    <col min="11" max="11" width="0.28515625" style="193" customWidth="1"/>
    <col min="12" max="19" width="1.7109375" style="193" customWidth="1"/>
    <col min="20" max="20" width="2.85546875" style="193" customWidth="1"/>
    <col min="21" max="21" width="0.28515625" style="193" customWidth="1"/>
    <col min="22" max="29" width="1.7109375" style="193" customWidth="1"/>
    <col min="30" max="30" width="2.5703125" style="193" customWidth="1"/>
    <col min="31" max="31" width="0.28515625" style="193" customWidth="1"/>
    <col min="32" max="39" width="1.7109375" style="193" customWidth="1"/>
    <col min="40" max="40" width="3.140625" style="193" customWidth="1"/>
    <col min="41" max="41" width="0.28515625" style="193" customWidth="1"/>
    <col min="42" max="49" width="1.7109375" style="193" customWidth="1"/>
    <col min="50" max="50" width="2.42578125" style="193" customWidth="1"/>
    <col min="51" max="51" width="0.28515625" style="193" customWidth="1"/>
    <col min="52" max="59" width="1.7109375" style="193" customWidth="1"/>
    <col min="60" max="60" width="3" style="193" customWidth="1"/>
    <col min="61" max="61" width="0.28515625" style="193" customWidth="1"/>
    <col min="62" max="69" width="1.7109375" style="193" customWidth="1"/>
    <col min="70" max="70" width="2.42578125" style="193" customWidth="1"/>
    <col min="71" max="71" width="2" style="195" hidden="1" customWidth="1"/>
    <col min="72" max="80" width="1.7109375" style="193" customWidth="1"/>
    <col min="81" max="256" width="9.140625" style="193"/>
    <col min="257" max="257" width="0.28515625" style="193" customWidth="1"/>
    <col min="258" max="266" width="1.7109375" style="193" customWidth="1"/>
    <col min="267" max="267" width="0.28515625" style="193" customWidth="1"/>
    <col min="268" max="276" width="1.7109375" style="193" customWidth="1"/>
    <col min="277" max="277" width="0.28515625" style="193" customWidth="1"/>
    <col min="278" max="286" width="1.7109375" style="193" customWidth="1"/>
    <col min="287" max="287" width="0.28515625" style="193" customWidth="1"/>
    <col min="288" max="296" width="1.7109375" style="193" customWidth="1"/>
    <col min="297" max="297" width="0.28515625" style="193" customWidth="1"/>
    <col min="298" max="306" width="1.7109375" style="193" customWidth="1"/>
    <col min="307" max="307" width="0.28515625" style="193" customWidth="1"/>
    <col min="308" max="316" width="1.7109375" style="193" customWidth="1"/>
    <col min="317" max="317" width="0.28515625" style="193" customWidth="1"/>
    <col min="318" max="326" width="1.7109375" style="193" customWidth="1"/>
    <col min="327" max="327" width="0.28515625" style="193" customWidth="1"/>
    <col min="328" max="336" width="1.7109375" style="193" customWidth="1"/>
    <col min="337" max="512" width="9.140625" style="193"/>
    <col min="513" max="513" width="0.28515625" style="193" customWidth="1"/>
    <col min="514" max="522" width="1.7109375" style="193" customWidth="1"/>
    <col min="523" max="523" width="0.28515625" style="193" customWidth="1"/>
    <col min="524" max="532" width="1.7109375" style="193" customWidth="1"/>
    <col min="533" max="533" width="0.28515625" style="193" customWidth="1"/>
    <col min="534" max="542" width="1.7109375" style="193" customWidth="1"/>
    <col min="543" max="543" width="0.28515625" style="193" customWidth="1"/>
    <col min="544" max="552" width="1.7109375" style="193" customWidth="1"/>
    <col min="553" max="553" width="0.28515625" style="193" customWidth="1"/>
    <col min="554" max="562" width="1.7109375" style="193" customWidth="1"/>
    <col min="563" max="563" width="0.28515625" style="193" customWidth="1"/>
    <col min="564" max="572" width="1.7109375" style="193" customWidth="1"/>
    <col min="573" max="573" width="0.28515625" style="193" customWidth="1"/>
    <col min="574" max="582" width="1.7109375" style="193" customWidth="1"/>
    <col min="583" max="583" width="0.28515625" style="193" customWidth="1"/>
    <col min="584" max="592" width="1.7109375" style="193" customWidth="1"/>
    <col min="593" max="768" width="9.140625" style="193"/>
    <col min="769" max="769" width="0.28515625" style="193" customWidth="1"/>
    <col min="770" max="778" width="1.7109375" style="193" customWidth="1"/>
    <col min="779" max="779" width="0.28515625" style="193" customWidth="1"/>
    <col min="780" max="788" width="1.7109375" style="193" customWidth="1"/>
    <col min="789" max="789" width="0.28515625" style="193" customWidth="1"/>
    <col min="790" max="798" width="1.7109375" style="193" customWidth="1"/>
    <col min="799" max="799" width="0.28515625" style="193" customWidth="1"/>
    <col min="800" max="808" width="1.7109375" style="193" customWidth="1"/>
    <col min="809" max="809" width="0.28515625" style="193" customWidth="1"/>
    <col min="810" max="818" width="1.7109375" style="193" customWidth="1"/>
    <col min="819" max="819" width="0.28515625" style="193" customWidth="1"/>
    <col min="820" max="828" width="1.7109375" style="193" customWidth="1"/>
    <col min="829" max="829" width="0.28515625" style="193" customWidth="1"/>
    <col min="830" max="838" width="1.7109375" style="193" customWidth="1"/>
    <col min="839" max="839" width="0.28515625" style="193" customWidth="1"/>
    <col min="840" max="848" width="1.7109375" style="193" customWidth="1"/>
    <col min="849" max="1024" width="9.140625" style="193"/>
    <col min="1025" max="1025" width="0.28515625" style="193" customWidth="1"/>
    <col min="1026" max="1034" width="1.7109375" style="193" customWidth="1"/>
    <col min="1035" max="1035" width="0.28515625" style="193" customWidth="1"/>
    <col min="1036" max="1044" width="1.7109375" style="193" customWidth="1"/>
    <col min="1045" max="1045" width="0.28515625" style="193" customWidth="1"/>
    <col min="1046" max="1054" width="1.7109375" style="193" customWidth="1"/>
    <col min="1055" max="1055" width="0.28515625" style="193" customWidth="1"/>
    <col min="1056" max="1064" width="1.7109375" style="193" customWidth="1"/>
    <col min="1065" max="1065" width="0.28515625" style="193" customWidth="1"/>
    <col min="1066" max="1074" width="1.7109375" style="193" customWidth="1"/>
    <col min="1075" max="1075" width="0.28515625" style="193" customWidth="1"/>
    <col min="1076" max="1084" width="1.7109375" style="193" customWidth="1"/>
    <col min="1085" max="1085" width="0.28515625" style="193" customWidth="1"/>
    <col min="1086" max="1094" width="1.7109375" style="193" customWidth="1"/>
    <col min="1095" max="1095" width="0.28515625" style="193" customWidth="1"/>
    <col min="1096" max="1104" width="1.7109375" style="193" customWidth="1"/>
    <col min="1105" max="1280" width="9.140625" style="193"/>
    <col min="1281" max="1281" width="0.28515625" style="193" customWidth="1"/>
    <col min="1282" max="1290" width="1.7109375" style="193" customWidth="1"/>
    <col min="1291" max="1291" width="0.28515625" style="193" customWidth="1"/>
    <col min="1292" max="1300" width="1.7109375" style="193" customWidth="1"/>
    <col min="1301" max="1301" width="0.28515625" style="193" customWidth="1"/>
    <col min="1302" max="1310" width="1.7109375" style="193" customWidth="1"/>
    <col min="1311" max="1311" width="0.28515625" style="193" customWidth="1"/>
    <col min="1312" max="1320" width="1.7109375" style="193" customWidth="1"/>
    <col min="1321" max="1321" width="0.28515625" style="193" customWidth="1"/>
    <col min="1322" max="1330" width="1.7109375" style="193" customWidth="1"/>
    <col min="1331" max="1331" width="0.28515625" style="193" customWidth="1"/>
    <col min="1332" max="1340" width="1.7109375" style="193" customWidth="1"/>
    <col min="1341" max="1341" width="0.28515625" style="193" customWidth="1"/>
    <col min="1342" max="1350" width="1.7109375" style="193" customWidth="1"/>
    <col min="1351" max="1351" width="0.28515625" style="193" customWidth="1"/>
    <col min="1352" max="1360" width="1.7109375" style="193" customWidth="1"/>
    <col min="1361" max="1536" width="9.140625" style="193"/>
    <col min="1537" max="1537" width="0.28515625" style="193" customWidth="1"/>
    <col min="1538" max="1546" width="1.7109375" style="193" customWidth="1"/>
    <col min="1547" max="1547" width="0.28515625" style="193" customWidth="1"/>
    <col min="1548" max="1556" width="1.7109375" style="193" customWidth="1"/>
    <col min="1557" max="1557" width="0.28515625" style="193" customWidth="1"/>
    <col min="1558" max="1566" width="1.7109375" style="193" customWidth="1"/>
    <col min="1567" max="1567" width="0.28515625" style="193" customWidth="1"/>
    <col min="1568" max="1576" width="1.7109375" style="193" customWidth="1"/>
    <col min="1577" max="1577" width="0.28515625" style="193" customWidth="1"/>
    <col min="1578" max="1586" width="1.7109375" style="193" customWidth="1"/>
    <col min="1587" max="1587" width="0.28515625" style="193" customWidth="1"/>
    <col min="1588" max="1596" width="1.7109375" style="193" customWidth="1"/>
    <col min="1597" max="1597" width="0.28515625" style="193" customWidth="1"/>
    <col min="1598" max="1606" width="1.7109375" style="193" customWidth="1"/>
    <col min="1607" max="1607" width="0.28515625" style="193" customWidth="1"/>
    <col min="1608" max="1616" width="1.7109375" style="193" customWidth="1"/>
    <col min="1617" max="1792" width="9.140625" style="193"/>
    <col min="1793" max="1793" width="0.28515625" style="193" customWidth="1"/>
    <col min="1794" max="1802" width="1.7109375" style="193" customWidth="1"/>
    <col min="1803" max="1803" width="0.28515625" style="193" customWidth="1"/>
    <col min="1804" max="1812" width="1.7109375" style="193" customWidth="1"/>
    <col min="1813" max="1813" width="0.28515625" style="193" customWidth="1"/>
    <col min="1814" max="1822" width="1.7109375" style="193" customWidth="1"/>
    <col min="1823" max="1823" width="0.28515625" style="193" customWidth="1"/>
    <col min="1824" max="1832" width="1.7109375" style="193" customWidth="1"/>
    <col min="1833" max="1833" width="0.28515625" style="193" customWidth="1"/>
    <col min="1834" max="1842" width="1.7109375" style="193" customWidth="1"/>
    <col min="1843" max="1843" width="0.28515625" style="193" customWidth="1"/>
    <col min="1844" max="1852" width="1.7109375" style="193" customWidth="1"/>
    <col min="1853" max="1853" width="0.28515625" style="193" customWidth="1"/>
    <col min="1854" max="1862" width="1.7109375" style="193" customWidth="1"/>
    <col min="1863" max="1863" width="0.28515625" style="193" customWidth="1"/>
    <col min="1864" max="1872" width="1.7109375" style="193" customWidth="1"/>
    <col min="1873" max="2048" width="9.140625" style="193"/>
    <col min="2049" max="2049" width="0.28515625" style="193" customWidth="1"/>
    <col min="2050" max="2058" width="1.7109375" style="193" customWidth="1"/>
    <col min="2059" max="2059" width="0.28515625" style="193" customWidth="1"/>
    <col min="2060" max="2068" width="1.7109375" style="193" customWidth="1"/>
    <col min="2069" max="2069" width="0.28515625" style="193" customWidth="1"/>
    <col min="2070" max="2078" width="1.7109375" style="193" customWidth="1"/>
    <col min="2079" max="2079" width="0.28515625" style="193" customWidth="1"/>
    <col min="2080" max="2088" width="1.7109375" style="193" customWidth="1"/>
    <col min="2089" max="2089" width="0.28515625" style="193" customWidth="1"/>
    <col min="2090" max="2098" width="1.7109375" style="193" customWidth="1"/>
    <col min="2099" max="2099" width="0.28515625" style="193" customWidth="1"/>
    <col min="2100" max="2108" width="1.7109375" style="193" customWidth="1"/>
    <col min="2109" max="2109" width="0.28515625" style="193" customWidth="1"/>
    <col min="2110" max="2118" width="1.7109375" style="193" customWidth="1"/>
    <col min="2119" max="2119" width="0.28515625" style="193" customWidth="1"/>
    <col min="2120" max="2128" width="1.7109375" style="193" customWidth="1"/>
    <col min="2129" max="2304" width="9.140625" style="193"/>
    <col min="2305" max="2305" width="0.28515625" style="193" customWidth="1"/>
    <col min="2306" max="2314" width="1.7109375" style="193" customWidth="1"/>
    <col min="2315" max="2315" width="0.28515625" style="193" customWidth="1"/>
    <col min="2316" max="2324" width="1.7109375" style="193" customWidth="1"/>
    <col min="2325" max="2325" width="0.28515625" style="193" customWidth="1"/>
    <col min="2326" max="2334" width="1.7109375" style="193" customWidth="1"/>
    <col min="2335" max="2335" width="0.28515625" style="193" customWidth="1"/>
    <col min="2336" max="2344" width="1.7109375" style="193" customWidth="1"/>
    <col min="2345" max="2345" width="0.28515625" style="193" customWidth="1"/>
    <col min="2346" max="2354" width="1.7109375" style="193" customWidth="1"/>
    <col min="2355" max="2355" width="0.28515625" style="193" customWidth="1"/>
    <col min="2356" max="2364" width="1.7109375" style="193" customWidth="1"/>
    <col min="2365" max="2365" width="0.28515625" style="193" customWidth="1"/>
    <col min="2366" max="2374" width="1.7109375" style="193" customWidth="1"/>
    <col min="2375" max="2375" width="0.28515625" style="193" customWidth="1"/>
    <col min="2376" max="2384" width="1.7109375" style="193" customWidth="1"/>
    <col min="2385" max="2560" width="9.140625" style="193"/>
    <col min="2561" max="2561" width="0.28515625" style="193" customWidth="1"/>
    <col min="2562" max="2570" width="1.7109375" style="193" customWidth="1"/>
    <col min="2571" max="2571" width="0.28515625" style="193" customWidth="1"/>
    <col min="2572" max="2580" width="1.7109375" style="193" customWidth="1"/>
    <col min="2581" max="2581" width="0.28515625" style="193" customWidth="1"/>
    <col min="2582" max="2590" width="1.7109375" style="193" customWidth="1"/>
    <col min="2591" max="2591" width="0.28515625" style="193" customWidth="1"/>
    <col min="2592" max="2600" width="1.7109375" style="193" customWidth="1"/>
    <col min="2601" max="2601" width="0.28515625" style="193" customWidth="1"/>
    <col min="2602" max="2610" width="1.7109375" style="193" customWidth="1"/>
    <col min="2611" max="2611" width="0.28515625" style="193" customWidth="1"/>
    <col min="2612" max="2620" width="1.7109375" style="193" customWidth="1"/>
    <col min="2621" max="2621" width="0.28515625" style="193" customWidth="1"/>
    <col min="2622" max="2630" width="1.7109375" style="193" customWidth="1"/>
    <col min="2631" max="2631" width="0.28515625" style="193" customWidth="1"/>
    <col min="2632" max="2640" width="1.7109375" style="193" customWidth="1"/>
    <col min="2641" max="2816" width="9.140625" style="193"/>
    <col min="2817" max="2817" width="0.28515625" style="193" customWidth="1"/>
    <col min="2818" max="2826" width="1.7109375" style="193" customWidth="1"/>
    <col min="2827" max="2827" width="0.28515625" style="193" customWidth="1"/>
    <col min="2828" max="2836" width="1.7109375" style="193" customWidth="1"/>
    <col min="2837" max="2837" width="0.28515625" style="193" customWidth="1"/>
    <col min="2838" max="2846" width="1.7109375" style="193" customWidth="1"/>
    <col min="2847" max="2847" width="0.28515625" style="193" customWidth="1"/>
    <col min="2848" max="2856" width="1.7109375" style="193" customWidth="1"/>
    <col min="2857" max="2857" width="0.28515625" style="193" customWidth="1"/>
    <col min="2858" max="2866" width="1.7109375" style="193" customWidth="1"/>
    <col min="2867" max="2867" width="0.28515625" style="193" customWidth="1"/>
    <col min="2868" max="2876" width="1.7109375" style="193" customWidth="1"/>
    <col min="2877" max="2877" width="0.28515625" style="193" customWidth="1"/>
    <col min="2878" max="2886" width="1.7109375" style="193" customWidth="1"/>
    <col min="2887" max="2887" width="0.28515625" style="193" customWidth="1"/>
    <col min="2888" max="2896" width="1.7109375" style="193" customWidth="1"/>
    <col min="2897" max="3072" width="9.140625" style="193"/>
    <col min="3073" max="3073" width="0.28515625" style="193" customWidth="1"/>
    <col min="3074" max="3082" width="1.7109375" style="193" customWidth="1"/>
    <col min="3083" max="3083" width="0.28515625" style="193" customWidth="1"/>
    <col min="3084" max="3092" width="1.7109375" style="193" customWidth="1"/>
    <col min="3093" max="3093" width="0.28515625" style="193" customWidth="1"/>
    <col min="3094" max="3102" width="1.7109375" style="193" customWidth="1"/>
    <col min="3103" max="3103" width="0.28515625" style="193" customWidth="1"/>
    <col min="3104" max="3112" width="1.7109375" style="193" customWidth="1"/>
    <col min="3113" max="3113" width="0.28515625" style="193" customWidth="1"/>
    <col min="3114" max="3122" width="1.7109375" style="193" customWidth="1"/>
    <col min="3123" max="3123" width="0.28515625" style="193" customWidth="1"/>
    <col min="3124" max="3132" width="1.7109375" style="193" customWidth="1"/>
    <col min="3133" max="3133" width="0.28515625" style="193" customWidth="1"/>
    <col min="3134" max="3142" width="1.7109375" style="193" customWidth="1"/>
    <col min="3143" max="3143" width="0.28515625" style="193" customWidth="1"/>
    <col min="3144" max="3152" width="1.7109375" style="193" customWidth="1"/>
    <col min="3153" max="3328" width="9.140625" style="193"/>
    <col min="3329" max="3329" width="0.28515625" style="193" customWidth="1"/>
    <col min="3330" max="3338" width="1.7109375" style="193" customWidth="1"/>
    <col min="3339" max="3339" width="0.28515625" style="193" customWidth="1"/>
    <col min="3340" max="3348" width="1.7109375" style="193" customWidth="1"/>
    <col min="3349" max="3349" width="0.28515625" style="193" customWidth="1"/>
    <col min="3350" max="3358" width="1.7109375" style="193" customWidth="1"/>
    <col min="3359" max="3359" width="0.28515625" style="193" customWidth="1"/>
    <col min="3360" max="3368" width="1.7109375" style="193" customWidth="1"/>
    <col min="3369" max="3369" width="0.28515625" style="193" customWidth="1"/>
    <col min="3370" max="3378" width="1.7109375" style="193" customWidth="1"/>
    <col min="3379" max="3379" width="0.28515625" style="193" customWidth="1"/>
    <col min="3380" max="3388" width="1.7109375" style="193" customWidth="1"/>
    <col min="3389" max="3389" width="0.28515625" style="193" customWidth="1"/>
    <col min="3390" max="3398" width="1.7109375" style="193" customWidth="1"/>
    <col min="3399" max="3399" width="0.28515625" style="193" customWidth="1"/>
    <col min="3400" max="3408" width="1.7109375" style="193" customWidth="1"/>
    <col min="3409" max="3584" width="9.140625" style="193"/>
    <col min="3585" max="3585" width="0.28515625" style="193" customWidth="1"/>
    <col min="3586" max="3594" width="1.7109375" style="193" customWidth="1"/>
    <col min="3595" max="3595" width="0.28515625" style="193" customWidth="1"/>
    <col min="3596" max="3604" width="1.7109375" style="193" customWidth="1"/>
    <col min="3605" max="3605" width="0.28515625" style="193" customWidth="1"/>
    <col min="3606" max="3614" width="1.7109375" style="193" customWidth="1"/>
    <col min="3615" max="3615" width="0.28515625" style="193" customWidth="1"/>
    <col min="3616" max="3624" width="1.7109375" style="193" customWidth="1"/>
    <col min="3625" max="3625" width="0.28515625" style="193" customWidth="1"/>
    <col min="3626" max="3634" width="1.7109375" style="193" customWidth="1"/>
    <col min="3635" max="3635" width="0.28515625" style="193" customWidth="1"/>
    <col min="3636" max="3644" width="1.7109375" style="193" customWidth="1"/>
    <col min="3645" max="3645" width="0.28515625" style="193" customWidth="1"/>
    <col min="3646" max="3654" width="1.7109375" style="193" customWidth="1"/>
    <col min="3655" max="3655" width="0.28515625" style="193" customWidth="1"/>
    <col min="3656" max="3664" width="1.7109375" style="193" customWidth="1"/>
    <col min="3665" max="3840" width="9.140625" style="193"/>
    <col min="3841" max="3841" width="0.28515625" style="193" customWidth="1"/>
    <col min="3842" max="3850" width="1.7109375" style="193" customWidth="1"/>
    <col min="3851" max="3851" width="0.28515625" style="193" customWidth="1"/>
    <col min="3852" max="3860" width="1.7109375" style="193" customWidth="1"/>
    <col min="3861" max="3861" width="0.28515625" style="193" customWidth="1"/>
    <col min="3862" max="3870" width="1.7109375" style="193" customWidth="1"/>
    <col min="3871" max="3871" width="0.28515625" style="193" customWidth="1"/>
    <col min="3872" max="3880" width="1.7109375" style="193" customWidth="1"/>
    <col min="3881" max="3881" width="0.28515625" style="193" customWidth="1"/>
    <col min="3882" max="3890" width="1.7109375" style="193" customWidth="1"/>
    <col min="3891" max="3891" width="0.28515625" style="193" customWidth="1"/>
    <col min="3892" max="3900" width="1.7109375" style="193" customWidth="1"/>
    <col min="3901" max="3901" width="0.28515625" style="193" customWidth="1"/>
    <col min="3902" max="3910" width="1.7109375" style="193" customWidth="1"/>
    <col min="3911" max="3911" width="0.28515625" style="193" customWidth="1"/>
    <col min="3912" max="3920" width="1.7109375" style="193" customWidth="1"/>
    <col min="3921" max="4096" width="9.140625" style="193"/>
    <col min="4097" max="4097" width="0.28515625" style="193" customWidth="1"/>
    <col min="4098" max="4106" width="1.7109375" style="193" customWidth="1"/>
    <col min="4107" max="4107" width="0.28515625" style="193" customWidth="1"/>
    <col min="4108" max="4116" width="1.7109375" style="193" customWidth="1"/>
    <col min="4117" max="4117" width="0.28515625" style="193" customWidth="1"/>
    <col min="4118" max="4126" width="1.7109375" style="193" customWidth="1"/>
    <col min="4127" max="4127" width="0.28515625" style="193" customWidth="1"/>
    <col min="4128" max="4136" width="1.7109375" style="193" customWidth="1"/>
    <col min="4137" max="4137" width="0.28515625" style="193" customWidth="1"/>
    <col min="4138" max="4146" width="1.7109375" style="193" customWidth="1"/>
    <col min="4147" max="4147" width="0.28515625" style="193" customWidth="1"/>
    <col min="4148" max="4156" width="1.7109375" style="193" customWidth="1"/>
    <col min="4157" max="4157" width="0.28515625" style="193" customWidth="1"/>
    <col min="4158" max="4166" width="1.7109375" style="193" customWidth="1"/>
    <col min="4167" max="4167" width="0.28515625" style="193" customWidth="1"/>
    <col min="4168" max="4176" width="1.7109375" style="193" customWidth="1"/>
    <col min="4177" max="4352" width="9.140625" style="193"/>
    <col min="4353" max="4353" width="0.28515625" style="193" customWidth="1"/>
    <col min="4354" max="4362" width="1.7109375" style="193" customWidth="1"/>
    <col min="4363" max="4363" width="0.28515625" style="193" customWidth="1"/>
    <col min="4364" max="4372" width="1.7109375" style="193" customWidth="1"/>
    <col min="4373" max="4373" width="0.28515625" style="193" customWidth="1"/>
    <col min="4374" max="4382" width="1.7109375" style="193" customWidth="1"/>
    <col min="4383" max="4383" width="0.28515625" style="193" customWidth="1"/>
    <col min="4384" max="4392" width="1.7109375" style="193" customWidth="1"/>
    <col min="4393" max="4393" width="0.28515625" style="193" customWidth="1"/>
    <col min="4394" max="4402" width="1.7109375" style="193" customWidth="1"/>
    <col min="4403" max="4403" width="0.28515625" style="193" customWidth="1"/>
    <col min="4404" max="4412" width="1.7109375" style="193" customWidth="1"/>
    <col min="4413" max="4413" width="0.28515625" style="193" customWidth="1"/>
    <col min="4414" max="4422" width="1.7109375" style="193" customWidth="1"/>
    <col min="4423" max="4423" width="0.28515625" style="193" customWidth="1"/>
    <col min="4424" max="4432" width="1.7109375" style="193" customWidth="1"/>
    <col min="4433" max="4608" width="9.140625" style="193"/>
    <col min="4609" max="4609" width="0.28515625" style="193" customWidth="1"/>
    <col min="4610" max="4618" width="1.7109375" style="193" customWidth="1"/>
    <col min="4619" max="4619" width="0.28515625" style="193" customWidth="1"/>
    <col min="4620" max="4628" width="1.7109375" style="193" customWidth="1"/>
    <col min="4629" max="4629" width="0.28515625" style="193" customWidth="1"/>
    <col min="4630" max="4638" width="1.7109375" style="193" customWidth="1"/>
    <col min="4639" max="4639" width="0.28515625" style="193" customWidth="1"/>
    <col min="4640" max="4648" width="1.7109375" style="193" customWidth="1"/>
    <col min="4649" max="4649" width="0.28515625" style="193" customWidth="1"/>
    <col min="4650" max="4658" width="1.7109375" style="193" customWidth="1"/>
    <col min="4659" max="4659" width="0.28515625" style="193" customWidth="1"/>
    <col min="4660" max="4668" width="1.7109375" style="193" customWidth="1"/>
    <col min="4669" max="4669" width="0.28515625" style="193" customWidth="1"/>
    <col min="4670" max="4678" width="1.7109375" style="193" customWidth="1"/>
    <col min="4679" max="4679" width="0.28515625" style="193" customWidth="1"/>
    <col min="4680" max="4688" width="1.7109375" style="193" customWidth="1"/>
    <col min="4689" max="4864" width="9.140625" style="193"/>
    <col min="4865" max="4865" width="0.28515625" style="193" customWidth="1"/>
    <col min="4866" max="4874" width="1.7109375" style="193" customWidth="1"/>
    <col min="4875" max="4875" width="0.28515625" style="193" customWidth="1"/>
    <col min="4876" max="4884" width="1.7109375" style="193" customWidth="1"/>
    <col min="4885" max="4885" width="0.28515625" style="193" customWidth="1"/>
    <col min="4886" max="4894" width="1.7109375" style="193" customWidth="1"/>
    <col min="4895" max="4895" width="0.28515625" style="193" customWidth="1"/>
    <col min="4896" max="4904" width="1.7109375" style="193" customWidth="1"/>
    <col min="4905" max="4905" width="0.28515625" style="193" customWidth="1"/>
    <col min="4906" max="4914" width="1.7109375" style="193" customWidth="1"/>
    <col min="4915" max="4915" width="0.28515625" style="193" customWidth="1"/>
    <col min="4916" max="4924" width="1.7109375" style="193" customWidth="1"/>
    <col min="4925" max="4925" width="0.28515625" style="193" customWidth="1"/>
    <col min="4926" max="4934" width="1.7109375" style="193" customWidth="1"/>
    <col min="4935" max="4935" width="0.28515625" style="193" customWidth="1"/>
    <col min="4936" max="4944" width="1.7109375" style="193" customWidth="1"/>
    <col min="4945" max="5120" width="9.140625" style="193"/>
    <col min="5121" max="5121" width="0.28515625" style="193" customWidth="1"/>
    <col min="5122" max="5130" width="1.7109375" style="193" customWidth="1"/>
    <col min="5131" max="5131" width="0.28515625" style="193" customWidth="1"/>
    <col min="5132" max="5140" width="1.7109375" style="193" customWidth="1"/>
    <col min="5141" max="5141" width="0.28515625" style="193" customWidth="1"/>
    <col min="5142" max="5150" width="1.7109375" style="193" customWidth="1"/>
    <col min="5151" max="5151" width="0.28515625" style="193" customWidth="1"/>
    <col min="5152" max="5160" width="1.7109375" style="193" customWidth="1"/>
    <col min="5161" max="5161" width="0.28515625" style="193" customWidth="1"/>
    <col min="5162" max="5170" width="1.7109375" style="193" customWidth="1"/>
    <col min="5171" max="5171" width="0.28515625" style="193" customWidth="1"/>
    <col min="5172" max="5180" width="1.7109375" style="193" customWidth="1"/>
    <col min="5181" max="5181" width="0.28515625" style="193" customWidth="1"/>
    <col min="5182" max="5190" width="1.7109375" style="193" customWidth="1"/>
    <col min="5191" max="5191" width="0.28515625" style="193" customWidth="1"/>
    <col min="5192" max="5200" width="1.7109375" style="193" customWidth="1"/>
    <col min="5201" max="5376" width="9.140625" style="193"/>
    <col min="5377" max="5377" width="0.28515625" style="193" customWidth="1"/>
    <col min="5378" max="5386" width="1.7109375" style="193" customWidth="1"/>
    <col min="5387" max="5387" width="0.28515625" style="193" customWidth="1"/>
    <col min="5388" max="5396" width="1.7109375" style="193" customWidth="1"/>
    <col min="5397" max="5397" width="0.28515625" style="193" customWidth="1"/>
    <col min="5398" max="5406" width="1.7109375" style="193" customWidth="1"/>
    <col min="5407" max="5407" width="0.28515625" style="193" customWidth="1"/>
    <col min="5408" max="5416" width="1.7109375" style="193" customWidth="1"/>
    <col min="5417" max="5417" width="0.28515625" style="193" customWidth="1"/>
    <col min="5418" max="5426" width="1.7109375" style="193" customWidth="1"/>
    <col min="5427" max="5427" width="0.28515625" style="193" customWidth="1"/>
    <col min="5428" max="5436" width="1.7109375" style="193" customWidth="1"/>
    <col min="5437" max="5437" width="0.28515625" style="193" customWidth="1"/>
    <col min="5438" max="5446" width="1.7109375" style="193" customWidth="1"/>
    <col min="5447" max="5447" width="0.28515625" style="193" customWidth="1"/>
    <col min="5448" max="5456" width="1.7109375" style="193" customWidth="1"/>
    <col min="5457" max="5632" width="9.140625" style="193"/>
    <col min="5633" max="5633" width="0.28515625" style="193" customWidth="1"/>
    <col min="5634" max="5642" width="1.7109375" style="193" customWidth="1"/>
    <col min="5643" max="5643" width="0.28515625" style="193" customWidth="1"/>
    <col min="5644" max="5652" width="1.7109375" style="193" customWidth="1"/>
    <col min="5653" max="5653" width="0.28515625" style="193" customWidth="1"/>
    <col min="5654" max="5662" width="1.7109375" style="193" customWidth="1"/>
    <col min="5663" max="5663" width="0.28515625" style="193" customWidth="1"/>
    <col min="5664" max="5672" width="1.7109375" style="193" customWidth="1"/>
    <col min="5673" max="5673" width="0.28515625" style="193" customWidth="1"/>
    <col min="5674" max="5682" width="1.7109375" style="193" customWidth="1"/>
    <col min="5683" max="5683" width="0.28515625" style="193" customWidth="1"/>
    <col min="5684" max="5692" width="1.7109375" style="193" customWidth="1"/>
    <col min="5693" max="5693" width="0.28515625" style="193" customWidth="1"/>
    <col min="5694" max="5702" width="1.7109375" style="193" customWidth="1"/>
    <col min="5703" max="5703" width="0.28515625" style="193" customWidth="1"/>
    <col min="5704" max="5712" width="1.7109375" style="193" customWidth="1"/>
    <col min="5713" max="5888" width="9.140625" style="193"/>
    <col min="5889" max="5889" width="0.28515625" style="193" customWidth="1"/>
    <col min="5890" max="5898" width="1.7109375" style="193" customWidth="1"/>
    <col min="5899" max="5899" width="0.28515625" style="193" customWidth="1"/>
    <col min="5900" max="5908" width="1.7109375" style="193" customWidth="1"/>
    <col min="5909" max="5909" width="0.28515625" style="193" customWidth="1"/>
    <col min="5910" max="5918" width="1.7109375" style="193" customWidth="1"/>
    <col min="5919" max="5919" width="0.28515625" style="193" customWidth="1"/>
    <col min="5920" max="5928" width="1.7109375" style="193" customWidth="1"/>
    <col min="5929" max="5929" width="0.28515625" style="193" customWidth="1"/>
    <col min="5930" max="5938" width="1.7109375" style="193" customWidth="1"/>
    <col min="5939" max="5939" width="0.28515625" style="193" customWidth="1"/>
    <col min="5940" max="5948" width="1.7109375" style="193" customWidth="1"/>
    <col min="5949" max="5949" width="0.28515625" style="193" customWidth="1"/>
    <col min="5950" max="5958" width="1.7109375" style="193" customWidth="1"/>
    <col min="5959" max="5959" width="0.28515625" style="193" customWidth="1"/>
    <col min="5960" max="5968" width="1.7109375" style="193" customWidth="1"/>
    <col min="5969" max="6144" width="9.140625" style="193"/>
    <col min="6145" max="6145" width="0.28515625" style="193" customWidth="1"/>
    <col min="6146" max="6154" width="1.7109375" style="193" customWidth="1"/>
    <col min="6155" max="6155" width="0.28515625" style="193" customWidth="1"/>
    <col min="6156" max="6164" width="1.7109375" style="193" customWidth="1"/>
    <col min="6165" max="6165" width="0.28515625" style="193" customWidth="1"/>
    <col min="6166" max="6174" width="1.7109375" style="193" customWidth="1"/>
    <col min="6175" max="6175" width="0.28515625" style="193" customWidth="1"/>
    <col min="6176" max="6184" width="1.7109375" style="193" customWidth="1"/>
    <col min="6185" max="6185" width="0.28515625" style="193" customWidth="1"/>
    <col min="6186" max="6194" width="1.7109375" style="193" customWidth="1"/>
    <col min="6195" max="6195" width="0.28515625" style="193" customWidth="1"/>
    <col min="6196" max="6204" width="1.7109375" style="193" customWidth="1"/>
    <col min="6205" max="6205" width="0.28515625" style="193" customWidth="1"/>
    <col min="6206" max="6214" width="1.7109375" style="193" customWidth="1"/>
    <col min="6215" max="6215" width="0.28515625" style="193" customWidth="1"/>
    <col min="6216" max="6224" width="1.7109375" style="193" customWidth="1"/>
    <col min="6225" max="6400" width="9.140625" style="193"/>
    <col min="6401" max="6401" width="0.28515625" style="193" customWidth="1"/>
    <col min="6402" max="6410" width="1.7109375" style="193" customWidth="1"/>
    <col min="6411" max="6411" width="0.28515625" style="193" customWidth="1"/>
    <col min="6412" max="6420" width="1.7109375" style="193" customWidth="1"/>
    <col min="6421" max="6421" width="0.28515625" style="193" customWidth="1"/>
    <col min="6422" max="6430" width="1.7109375" style="193" customWidth="1"/>
    <col min="6431" max="6431" width="0.28515625" style="193" customWidth="1"/>
    <col min="6432" max="6440" width="1.7109375" style="193" customWidth="1"/>
    <col min="6441" max="6441" width="0.28515625" style="193" customWidth="1"/>
    <col min="6442" max="6450" width="1.7109375" style="193" customWidth="1"/>
    <col min="6451" max="6451" width="0.28515625" style="193" customWidth="1"/>
    <col min="6452" max="6460" width="1.7109375" style="193" customWidth="1"/>
    <col min="6461" max="6461" width="0.28515625" style="193" customWidth="1"/>
    <col min="6462" max="6470" width="1.7109375" style="193" customWidth="1"/>
    <col min="6471" max="6471" width="0.28515625" style="193" customWidth="1"/>
    <col min="6472" max="6480" width="1.7109375" style="193" customWidth="1"/>
    <col min="6481" max="6656" width="9.140625" style="193"/>
    <col min="6657" max="6657" width="0.28515625" style="193" customWidth="1"/>
    <col min="6658" max="6666" width="1.7109375" style="193" customWidth="1"/>
    <col min="6667" max="6667" width="0.28515625" style="193" customWidth="1"/>
    <col min="6668" max="6676" width="1.7109375" style="193" customWidth="1"/>
    <col min="6677" max="6677" width="0.28515625" style="193" customWidth="1"/>
    <col min="6678" max="6686" width="1.7109375" style="193" customWidth="1"/>
    <col min="6687" max="6687" width="0.28515625" style="193" customWidth="1"/>
    <col min="6688" max="6696" width="1.7109375" style="193" customWidth="1"/>
    <col min="6697" max="6697" width="0.28515625" style="193" customWidth="1"/>
    <col min="6698" max="6706" width="1.7109375" style="193" customWidth="1"/>
    <col min="6707" max="6707" width="0.28515625" style="193" customWidth="1"/>
    <col min="6708" max="6716" width="1.7109375" style="193" customWidth="1"/>
    <col min="6717" max="6717" width="0.28515625" style="193" customWidth="1"/>
    <col min="6718" max="6726" width="1.7109375" style="193" customWidth="1"/>
    <col min="6727" max="6727" width="0.28515625" style="193" customWidth="1"/>
    <col min="6728" max="6736" width="1.7109375" style="193" customWidth="1"/>
    <col min="6737" max="6912" width="9.140625" style="193"/>
    <col min="6913" max="6913" width="0.28515625" style="193" customWidth="1"/>
    <col min="6914" max="6922" width="1.7109375" style="193" customWidth="1"/>
    <col min="6923" max="6923" width="0.28515625" style="193" customWidth="1"/>
    <col min="6924" max="6932" width="1.7109375" style="193" customWidth="1"/>
    <col min="6933" max="6933" width="0.28515625" style="193" customWidth="1"/>
    <col min="6934" max="6942" width="1.7109375" style="193" customWidth="1"/>
    <col min="6943" max="6943" width="0.28515625" style="193" customWidth="1"/>
    <col min="6944" max="6952" width="1.7109375" style="193" customWidth="1"/>
    <col min="6953" max="6953" width="0.28515625" style="193" customWidth="1"/>
    <col min="6954" max="6962" width="1.7109375" style="193" customWidth="1"/>
    <col min="6963" max="6963" width="0.28515625" style="193" customWidth="1"/>
    <col min="6964" max="6972" width="1.7109375" style="193" customWidth="1"/>
    <col min="6973" max="6973" width="0.28515625" style="193" customWidth="1"/>
    <col min="6974" max="6982" width="1.7109375" style="193" customWidth="1"/>
    <col min="6983" max="6983" width="0.28515625" style="193" customWidth="1"/>
    <col min="6984" max="6992" width="1.7109375" style="193" customWidth="1"/>
    <col min="6993" max="7168" width="9.140625" style="193"/>
    <col min="7169" max="7169" width="0.28515625" style="193" customWidth="1"/>
    <col min="7170" max="7178" width="1.7109375" style="193" customWidth="1"/>
    <col min="7179" max="7179" width="0.28515625" style="193" customWidth="1"/>
    <col min="7180" max="7188" width="1.7109375" style="193" customWidth="1"/>
    <col min="7189" max="7189" width="0.28515625" style="193" customWidth="1"/>
    <col min="7190" max="7198" width="1.7109375" style="193" customWidth="1"/>
    <col min="7199" max="7199" width="0.28515625" style="193" customWidth="1"/>
    <col min="7200" max="7208" width="1.7109375" style="193" customWidth="1"/>
    <col min="7209" max="7209" width="0.28515625" style="193" customWidth="1"/>
    <col min="7210" max="7218" width="1.7109375" style="193" customWidth="1"/>
    <col min="7219" max="7219" width="0.28515625" style="193" customWidth="1"/>
    <col min="7220" max="7228" width="1.7109375" style="193" customWidth="1"/>
    <col min="7229" max="7229" width="0.28515625" style="193" customWidth="1"/>
    <col min="7230" max="7238" width="1.7109375" style="193" customWidth="1"/>
    <col min="7239" max="7239" width="0.28515625" style="193" customWidth="1"/>
    <col min="7240" max="7248" width="1.7109375" style="193" customWidth="1"/>
    <col min="7249" max="7424" width="9.140625" style="193"/>
    <col min="7425" max="7425" width="0.28515625" style="193" customWidth="1"/>
    <col min="7426" max="7434" width="1.7109375" style="193" customWidth="1"/>
    <col min="7435" max="7435" width="0.28515625" style="193" customWidth="1"/>
    <col min="7436" max="7444" width="1.7109375" style="193" customWidth="1"/>
    <col min="7445" max="7445" width="0.28515625" style="193" customWidth="1"/>
    <col min="7446" max="7454" width="1.7109375" style="193" customWidth="1"/>
    <col min="7455" max="7455" width="0.28515625" style="193" customWidth="1"/>
    <col min="7456" max="7464" width="1.7109375" style="193" customWidth="1"/>
    <col min="7465" max="7465" width="0.28515625" style="193" customWidth="1"/>
    <col min="7466" max="7474" width="1.7109375" style="193" customWidth="1"/>
    <col min="7475" max="7475" width="0.28515625" style="193" customWidth="1"/>
    <col min="7476" max="7484" width="1.7109375" style="193" customWidth="1"/>
    <col min="7485" max="7485" width="0.28515625" style="193" customWidth="1"/>
    <col min="7486" max="7494" width="1.7109375" style="193" customWidth="1"/>
    <col min="7495" max="7495" width="0.28515625" style="193" customWidth="1"/>
    <col min="7496" max="7504" width="1.7109375" style="193" customWidth="1"/>
    <col min="7505" max="7680" width="9.140625" style="193"/>
    <col min="7681" max="7681" width="0.28515625" style="193" customWidth="1"/>
    <col min="7682" max="7690" width="1.7109375" style="193" customWidth="1"/>
    <col min="7691" max="7691" width="0.28515625" style="193" customWidth="1"/>
    <col min="7692" max="7700" width="1.7109375" style="193" customWidth="1"/>
    <col min="7701" max="7701" width="0.28515625" style="193" customWidth="1"/>
    <col min="7702" max="7710" width="1.7109375" style="193" customWidth="1"/>
    <col min="7711" max="7711" width="0.28515625" style="193" customWidth="1"/>
    <col min="7712" max="7720" width="1.7109375" style="193" customWidth="1"/>
    <col min="7721" max="7721" width="0.28515625" style="193" customWidth="1"/>
    <col min="7722" max="7730" width="1.7109375" style="193" customWidth="1"/>
    <col min="7731" max="7731" width="0.28515625" style="193" customWidth="1"/>
    <col min="7732" max="7740" width="1.7109375" style="193" customWidth="1"/>
    <col min="7741" max="7741" width="0.28515625" style="193" customWidth="1"/>
    <col min="7742" max="7750" width="1.7109375" style="193" customWidth="1"/>
    <col min="7751" max="7751" width="0.28515625" style="193" customWidth="1"/>
    <col min="7752" max="7760" width="1.7109375" style="193" customWidth="1"/>
    <col min="7761" max="7936" width="9.140625" style="193"/>
    <col min="7937" max="7937" width="0.28515625" style="193" customWidth="1"/>
    <col min="7938" max="7946" width="1.7109375" style="193" customWidth="1"/>
    <col min="7947" max="7947" width="0.28515625" style="193" customWidth="1"/>
    <col min="7948" max="7956" width="1.7109375" style="193" customWidth="1"/>
    <col min="7957" max="7957" width="0.28515625" style="193" customWidth="1"/>
    <col min="7958" max="7966" width="1.7109375" style="193" customWidth="1"/>
    <col min="7967" max="7967" width="0.28515625" style="193" customWidth="1"/>
    <col min="7968" max="7976" width="1.7109375" style="193" customWidth="1"/>
    <col min="7977" max="7977" width="0.28515625" style="193" customWidth="1"/>
    <col min="7978" max="7986" width="1.7109375" style="193" customWidth="1"/>
    <col min="7987" max="7987" width="0.28515625" style="193" customWidth="1"/>
    <col min="7988" max="7996" width="1.7109375" style="193" customWidth="1"/>
    <col min="7997" max="7997" width="0.28515625" style="193" customWidth="1"/>
    <col min="7998" max="8006" width="1.7109375" style="193" customWidth="1"/>
    <col min="8007" max="8007" width="0.28515625" style="193" customWidth="1"/>
    <col min="8008" max="8016" width="1.7109375" style="193" customWidth="1"/>
    <col min="8017" max="8192" width="9.140625" style="193"/>
    <col min="8193" max="8193" width="0.28515625" style="193" customWidth="1"/>
    <col min="8194" max="8202" width="1.7109375" style="193" customWidth="1"/>
    <col min="8203" max="8203" width="0.28515625" style="193" customWidth="1"/>
    <col min="8204" max="8212" width="1.7109375" style="193" customWidth="1"/>
    <col min="8213" max="8213" width="0.28515625" style="193" customWidth="1"/>
    <col min="8214" max="8222" width="1.7109375" style="193" customWidth="1"/>
    <col min="8223" max="8223" width="0.28515625" style="193" customWidth="1"/>
    <col min="8224" max="8232" width="1.7109375" style="193" customWidth="1"/>
    <col min="8233" max="8233" width="0.28515625" style="193" customWidth="1"/>
    <col min="8234" max="8242" width="1.7109375" style="193" customWidth="1"/>
    <col min="8243" max="8243" width="0.28515625" style="193" customWidth="1"/>
    <col min="8244" max="8252" width="1.7109375" style="193" customWidth="1"/>
    <col min="8253" max="8253" width="0.28515625" style="193" customWidth="1"/>
    <col min="8254" max="8262" width="1.7109375" style="193" customWidth="1"/>
    <col min="8263" max="8263" width="0.28515625" style="193" customWidth="1"/>
    <col min="8264" max="8272" width="1.7109375" style="193" customWidth="1"/>
    <col min="8273" max="8448" width="9.140625" style="193"/>
    <col min="8449" max="8449" width="0.28515625" style="193" customWidth="1"/>
    <col min="8450" max="8458" width="1.7109375" style="193" customWidth="1"/>
    <col min="8459" max="8459" width="0.28515625" style="193" customWidth="1"/>
    <col min="8460" max="8468" width="1.7109375" style="193" customWidth="1"/>
    <col min="8469" max="8469" width="0.28515625" style="193" customWidth="1"/>
    <col min="8470" max="8478" width="1.7109375" style="193" customWidth="1"/>
    <col min="8479" max="8479" width="0.28515625" style="193" customWidth="1"/>
    <col min="8480" max="8488" width="1.7109375" style="193" customWidth="1"/>
    <col min="8489" max="8489" width="0.28515625" style="193" customWidth="1"/>
    <col min="8490" max="8498" width="1.7109375" style="193" customWidth="1"/>
    <col min="8499" max="8499" width="0.28515625" style="193" customWidth="1"/>
    <col min="8500" max="8508" width="1.7109375" style="193" customWidth="1"/>
    <col min="8509" max="8509" width="0.28515625" style="193" customWidth="1"/>
    <col min="8510" max="8518" width="1.7109375" style="193" customWidth="1"/>
    <col min="8519" max="8519" width="0.28515625" style="193" customWidth="1"/>
    <col min="8520" max="8528" width="1.7109375" style="193" customWidth="1"/>
    <col min="8529" max="8704" width="9.140625" style="193"/>
    <col min="8705" max="8705" width="0.28515625" style="193" customWidth="1"/>
    <col min="8706" max="8714" width="1.7109375" style="193" customWidth="1"/>
    <col min="8715" max="8715" width="0.28515625" style="193" customWidth="1"/>
    <col min="8716" max="8724" width="1.7109375" style="193" customWidth="1"/>
    <col min="8725" max="8725" width="0.28515625" style="193" customWidth="1"/>
    <col min="8726" max="8734" width="1.7109375" style="193" customWidth="1"/>
    <col min="8735" max="8735" width="0.28515625" style="193" customWidth="1"/>
    <col min="8736" max="8744" width="1.7109375" style="193" customWidth="1"/>
    <col min="8745" max="8745" width="0.28515625" style="193" customWidth="1"/>
    <col min="8746" max="8754" width="1.7109375" style="193" customWidth="1"/>
    <col min="8755" max="8755" width="0.28515625" style="193" customWidth="1"/>
    <col min="8756" max="8764" width="1.7109375" style="193" customWidth="1"/>
    <col min="8765" max="8765" width="0.28515625" style="193" customWidth="1"/>
    <col min="8766" max="8774" width="1.7109375" style="193" customWidth="1"/>
    <col min="8775" max="8775" width="0.28515625" style="193" customWidth="1"/>
    <col min="8776" max="8784" width="1.7109375" style="193" customWidth="1"/>
    <col min="8785" max="8960" width="9.140625" style="193"/>
    <col min="8961" max="8961" width="0.28515625" style="193" customWidth="1"/>
    <col min="8962" max="8970" width="1.7109375" style="193" customWidth="1"/>
    <col min="8971" max="8971" width="0.28515625" style="193" customWidth="1"/>
    <col min="8972" max="8980" width="1.7109375" style="193" customWidth="1"/>
    <col min="8981" max="8981" width="0.28515625" style="193" customWidth="1"/>
    <col min="8982" max="8990" width="1.7109375" style="193" customWidth="1"/>
    <col min="8991" max="8991" width="0.28515625" style="193" customWidth="1"/>
    <col min="8992" max="9000" width="1.7109375" style="193" customWidth="1"/>
    <col min="9001" max="9001" width="0.28515625" style="193" customWidth="1"/>
    <col min="9002" max="9010" width="1.7109375" style="193" customWidth="1"/>
    <col min="9011" max="9011" width="0.28515625" style="193" customWidth="1"/>
    <col min="9012" max="9020" width="1.7109375" style="193" customWidth="1"/>
    <col min="9021" max="9021" width="0.28515625" style="193" customWidth="1"/>
    <col min="9022" max="9030" width="1.7109375" style="193" customWidth="1"/>
    <col min="9031" max="9031" width="0.28515625" style="193" customWidth="1"/>
    <col min="9032" max="9040" width="1.7109375" style="193" customWidth="1"/>
    <col min="9041" max="9216" width="9.140625" style="193"/>
    <col min="9217" max="9217" width="0.28515625" style="193" customWidth="1"/>
    <col min="9218" max="9226" width="1.7109375" style="193" customWidth="1"/>
    <col min="9227" max="9227" width="0.28515625" style="193" customWidth="1"/>
    <col min="9228" max="9236" width="1.7109375" style="193" customWidth="1"/>
    <col min="9237" max="9237" width="0.28515625" style="193" customWidth="1"/>
    <col min="9238" max="9246" width="1.7109375" style="193" customWidth="1"/>
    <col min="9247" max="9247" width="0.28515625" style="193" customWidth="1"/>
    <col min="9248" max="9256" width="1.7109375" style="193" customWidth="1"/>
    <col min="9257" max="9257" width="0.28515625" style="193" customWidth="1"/>
    <col min="9258" max="9266" width="1.7109375" style="193" customWidth="1"/>
    <col min="9267" max="9267" width="0.28515625" style="193" customWidth="1"/>
    <col min="9268" max="9276" width="1.7109375" style="193" customWidth="1"/>
    <col min="9277" max="9277" width="0.28515625" style="193" customWidth="1"/>
    <col min="9278" max="9286" width="1.7109375" style="193" customWidth="1"/>
    <col min="9287" max="9287" width="0.28515625" style="193" customWidth="1"/>
    <col min="9288" max="9296" width="1.7109375" style="193" customWidth="1"/>
    <col min="9297" max="9472" width="9.140625" style="193"/>
    <col min="9473" max="9473" width="0.28515625" style="193" customWidth="1"/>
    <col min="9474" max="9482" width="1.7109375" style="193" customWidth="1"/>
    <col min="9483" max="9483" width="0.28515625" style="193" customWidth="1"/>
    <col min="9484" max="9492" width="1.7109375" style="193" customWidth="1"/>
    <col min="9493" max="9493" width="0.28515625" style="193" customWidth="1"/>
    <col min="9494" max="9502" width="1.7109375" style="193" customWidth="1"/>
    <col min="9503" max="9503" width="0.28515625" style="193" customWidth="1"/>
    <col min="9504" max="9512" width="1.7109375" style="193" customWidth="1"/>
    <col min="9513" max="9513" width="0.28515625" style="193" customWidth="1"/>
    <col min="9514" max="9522" width="1.7109375" style="193" customWidth="1"/>
    <col min="9523" max="9523" width="0.28515625" style="193" customWidth="1"/>
    <col min="9524" max="9532" width="1.7109375" style="193" customWidth="1"/>
    <col min="9533" max="9533" width="0.28515625" style="193" customWidth="1"/>
    <col min="9534" max="9542" width="1.7109375" style="193" customWidth="1"/>
    <col min="9543" max="9543" width="0.28515625" style="193" customWidth="1"/>
    <col min="9544" max="9552" width="1.7109375" style="193" customWidth="1"/>
    <col min="9553" max="9728" width="9.140625" style="193"/>
    <col min="9729" max="9729" width="0.28515625" style="193" customWidth="1"/>
    <col min="9730" max="9738" width="1.7109375" style="193" customWidth="1"/>
    <col min="9739" max="9739" width="0.28515625" style="193" customWidth="1"/>
    <col min="9740" max="9748" width="1.7109375" style="193" customWidth="1"/>
    <col min="9749" max="9749" width="0.28515625" style="193" customWidth="1"/>
    <col min="9750" max="9758" width="1.7109375" style="193" customWidth="1"/>
    <col min="9759" max="9759" width="0.28515625" style="193" customWidth="1"/>
    <col min="9760" max="9768" width="1.7109375" style="193" customWidth="1"/>
    <col min="9769" max="9769" width="0.28515625" style="193" customWidth="1"/>
    <col min="9770" max="9778" width="1.7109375" style="193" customWidth="1"/>
    <col min="9779" max="9779" width="0.28515625" style="193" customWidth="1"/>
    <col min="9780" max="9788" width="1.7109375" style="193" customWidth="1"/>
    <col min="9789" max="9789" width="0.28515625" style="193" customWidth="1"/>
    <col min="9790" max="9798" width="1.7109375" style="193" customWidth="1"/>
    <col min="9799" max="9799" width="0.28515625" style="193" customWidth="1"/>
    <col min="9800" max="9808" width="1.7109375" style="193" customWidth="1"/>
    <col min="9809" max="9984" width="9.140625" style="193"/>
    <col min="9985" max="9985" width="0.28515625" style="193" customWidth="1"/>
    <col min="9986" max="9994" width="1.7109375" style="193" customWidth="1"/>
    <col min="9995" max="9995" width="0.28515625" style="193" customWidth="1"/>
    <col min="9996" max="10004" width="1.7109375" style="193" customWidth="1"/>
    <col min="10005" max="10005" width="0.28515625" style="193" customWidth="1"/>
    <col min="10006" max="10014" width="1.7109375" style="193" customWidth="1"/>
    <col min="10015" max="10015" width="0.28515625" style="193" customWidth="1"/>
    <col min="10016" max="10024" width="1.7109375" style="193" customWidth="1"/>
    <col min="10025" max="10025" width="0.28515625" style="193" customWidth="1"/>
    <col min="10026" max="10034" width="1.7109375" style="193" customWidth="1"/>
    <col min="10035" max="10035" width="0.28515625" style="193" customWidth="1"/>
    <col min="10036" max="10044" width="1.7109375" style="193" customWidth="1"/>
    <col min="10045" max="10045" width="0.28515625" style="193" customWidth="1"/>
    <col min="10046" max="10054" width="1.7109375" style="193" customWidth="1"/>
    <col min="10055" max="10055" width="0.28515625" style="193" customWidth="1"/>
    <col min="10056" max="10064" width="1.7109375" style="193" customWidth="1"/>
    <col min="10065" max="10240" width="9.140625" style="193"/>
    <col min="10241" max="10241" width="0.28515625" style="193" customWidth="1"/>
    <col min="10242" max="10250" width="1.7109375" style="193" customWidth="1"/>
    <col min="10251" max="10251" width="0.28515625" style="193" customWidth="1"/>
    <col min="10252" max="10260" width="1.7109375" style="193" customWidth="1"/>
    <col min="10261" max="10261" width="0.28515625" style="193" customWidth="1"/>
    <col min="10262" max="10270" width="1.7109375" style="193" customWidth="1"/>
    <col min="10271" max="10271" width="0.28515625" style="193" customWidth="1"/>
    <col min="10272" max="10280" width="1.7109375" style="193" customWidth="1"/>
    <col min="10281" max="10281" width="0.28515625" style="193" customWidth="1"/>
    <col min="10282" max="10290" width="1.7109375" style="193" customWidth="1"/>
    <col min="10291" max="10291" width="0.28515625" style="193" customWidth="1"/>
    <col min="10292" max="10300" width="1.7109375" style="193" customWidth="1"/>
    <col min="10301" max="10301" width="0.28515625" style="193" customWidth="1"/>
    <col min="10302" max="10310" width="1.7109375" style="193" customWidth="1"/>
    <col min="10311" max="10311" width="0.28515625" style="193" customWidth="1"/>
    <col min="10312" max="10320" width="1.7109375" style="193" customWidth="1"/>
    <col min="10321" max="10496" width="9.140625" style="193"/>
    <col min="10497" max="10497" width="0.28515625" style="193" customWidth="1"/>
    <col min="10498" max="10506" width="1.7109375" style="193" customWidth="1"/>
    <col min="10507" max="10507" width="0.28515625" style="193" customWidth="1"/>
    <col min="10508" max="10516" width="1.7109375" style="193" customWidth="1"/>
    <col min="10517" max="10517" width="0.28515625" style="193" customWidth="1"/>
    <col min="10518" max="10526" width="1.7109375" style="193" customWidth="1"/>
    <col min="10527" max="10527" width="0.28515625" style="193" customWidth="1"/>
    <col min="10528" max="10536" width="1.7109375" style="193" customWidth="1"/>
    <col min="10537" max="10537" width="0.28515625" style="193" customWidth="1"/>
    <col min="10538" max="10546" width="1.7109375" style="193" customWidth="1"/>
    <col min="10547" max="10547" width="0.28515625" style="193" customWidth="1"/>
    <col min="10548" max="10556" width="1.7109375" style="193" customWidth="1"/>
    <col min="10557" max="10557" width="0.28515625" style="193" customWidth="1"/>
    <col min="10558" max="10566" width="1.7109375" style="193" customWidth="1"/>
    <col min="10567" max="10567" width="0.28515625" style="193" customWidth="1"/>
    <col min="10568" max="10576" width="1.7109375" style="193" customWidth="1"/>
    <col min="10577" max="10752" width="9.140625" style="193"/>
    <col min="10753" max="10753" width="0.28515625" style="193" customWidth="1"/>
    <col min="10754" max="10762" width="1.7109375" style="193" customWidth="1"/>
    <col min="10763" max="10763" width="0.28515625" style="193" customWidth="1"/>
    <col min="10764" max="10772" width="1.7109375" style="193" customWidth="1"/>
    <col min="10773" max="10773" width="0.28515625" style="193" customWidth="1"/>
    <col min="10774" max="10782" width="1.7109375" style="193" customWidth="1"/>
    <col min="10783" max="10783" width="0.28515625" style="193" customWidth="1"/>
    <col min="10784" max="10792" width="1.7109375" style="193" customWidth="1"/>
    <col min="10793" max="10793" width="0.28515625" style="193" customWidth="1"/>
    <col min="10794" max="10802" width="1.7109375" style="193" customWidth="1"/>
    <col min="10803" max="10803" width="0.28515625" style="193" customWidth="1"/>
    <col min="10804" max="10812" width="1.7109375" style="193" customWidth="1"/>
    <col min="10813" max="10813" width="0.28515625" style="193" customWidth="1"/>
    <col min="10814" max="10822" width="1.7109375" style="193" customWidth="1"/>
    <col min="10823" max="10823" width="0.28515625" style="193" customWidth="1"/>
    <col min="10824" max="10832" width="1.7109375" style="193" customWidth="1"/>
    <col min="10833" max="11008" width="9.140625" style="193"/>
    <col min="11009" max="11009" width="0.28515625" style="193" customWidth="1"/>
    <col min="11010" max="11018" width="1.7109375" style="193" customWidth="1"/>
    <col min="11019" max="11019" width="0.28515625" style="193" customWidth="1"/>
    <col min="11020" max="11028" width="1.7109375" style="193" customWidth="1"/>
    <col min="11029" max="11029" width="0.28515625" style="193" customWidth="1"/>
    <col min="11030" max="11038" width="1.7109375" style="193" customWidth="1"/>
    <col min="11039" max="11039" width="0.28515625" style="193" customWidth="1"/>
    <col min="11040" max="11048" width="1.7109375" style="193" customWidth="1"/>
    <col min="11049" max="11049" width="0.28515625" style="193" customWidth="1"/>
    <col min="11050" max="11058" width="1.7109375" style="193" customWidth="1"/>
    <col min="11059" max="11059" width="0.28515625" style="193" customWidth="1"/>
    <col min="11060" max="11068" width="1.7109375" style="193" customWidth="1"/>
    <col min="11069" max="11069" width="0.28515625" style="193" customWidth="1"/>
    <col min="11070" max="11078" width="1.7109375" style="193" customWidth="1"/>
    <col min="11079" max="11079" width="0.28515625" style="193" customWidth="1"/>
    <col min="11080" max="11088" width="1.7109375" style="193" customWidth="1"/>
    <col min="11089" max="11264" width="9.140625" style="193"/>
    <col min="11265" max="11265" width="0.28515625" style="193" customWidth="1"/>
    <col min="11266" max="11274" width="1.7109375" style="193" customWidth="1"/>
    <col min="11275" max="11275" width="0.28515625" style="193" customWidth="1"/>
    <col min="11276" max="11284" width="1.7109375" style="193" customWidth="1"/>
    <col min="11285" max="11285" width="0.28515625" style="193" customWidth="1"/>
    <col min="11286" max="11294" width="1.7109375" style="193" customWidth="1"/>
    <col min="11295" max="11295" width="0.28515625" style="193" customWidth="1"/>
    <col min="11296" max="11304" width="1.7109375" style="193" customWidth="1"/>
    <col min="11305" max="11305" width="0.28515625" style="193" customWidth="1"/>
    <col min="11306" max="11314" width="1.7109375" style="193" customWidth="1"/>
    <col min="11315" max="11315" width="0.28515625" style="193" customWidth="1"/>
    <col min="11316" max="11324" width="1.7109375" style="193" customWidth="1"/>
    <col min="11325" max="11325" width="0.28515625" style="193" customWidth="1"/>
    <col min="11326" max="11334" width="1.7109375" style="193" customWidth="1"/>
    <col min="11335" max="11335" width="0.28515625" style="193" customWidth="1"/>
    <col min="11336" max="11344" width="1.7109375" style="193" customWidth="1"/>
    <col min="11345" max="11520" width="9.140625" style="193"/>
    <col min="11521" max="11521" width="0.28515625" style="193" customWidth="1"/>
    <col min="11522" max="11530" width="1.7109375" style="193" customWidth="1"/>
    <col min="11531" max="11531" width="0.28515625" style="193" customWidth="1"/>
    <col min="11532" max="11540" width="1.7109375" style="193" customWidth="1"/>
    <col min="11541" max="11541" width="0.28515625" style="193" customWidth="1"/>
    <col min="11542" max="11550" width="1.7109375" style="193" customWidth="1"/>
    <col min="11551" max="11551" width="0.28515625" style="193" customWidth="1"/>
    <col min="11552" max="11560" width="1.7109375" style="193" customWidth="1"/>
    <col min="11561" max="11561" width="0.28515625" style="193" customWidth="1"/>
    <col min="11562" max="11570" width="1.7109375" style="193" customWidth="1"/>
    <col min="11571" max="11571" width="0.28515625" style="193" customWidth="1"/>
    <col min="11572" max="11580" width="1.7109375" style="193" customWidth="1"/>
    <col min="11581" max="11581" width="0.28515625" style="193" customWidth="1"/>
    <col min="11582" max="11590" width="1.7109375" style="193" customWidth="1"/>
    <col min="11591" max="11591" width="0.28515625" style="193" customWidth="1"/>
    <col min="11592" max="11600" width="1.7109375" style="193" customWidth="1"/>
    <col min="11601" max="11776" width="9.140625" style="193"/>
    <col min="11777" max="11777" width="0.28515625" style="193" customWidth="1"/>
    <col min="11778" max="11786" width="1.7109375" style="193" customWidth="1"/>
    <col min="11787" max="11787" width="0.28515625" style="193" customWidth="1"/>
    <col min="11788" max="11796" width="1.7109375" style="193" customWidth="1"/>
    <col min="11797" max="11797" width="0.28515625" style="193" customWidth="1"/>
    <col min="11798" max="11806" width="1.7109375" style="193" customWidth="1"/>
    <col min="11807" max="11807" width="0.28515625" style="193" customWidth="1"/>
    <col min="11808" max="11816" width="1.7109375" style="193" customWidth="1"/>
    <col min="11817" max="11817" width="0.28515625" style="193" customWidth="1"/>
    <col min="11818" max="11826" width="1.7109375" style="193" customWidth="1"/>
    <col min="11827" max="11827" width="0.28515625" style="193" customWidth="1"/>
    <col min="11828" max="11836" width="1.7109375" style="193" customWidth="1"/>
    <col min="11837" max="11837" width="0.28515625" style="193" customWidth="1"/>
    <col min="11838" max="11846" width="1.7109375" style="193" customWidth="1"/>
    <col min="11847" max="11847" width="0.28515625" style="193" customWidth="1"/>
    <col min="11848" max="11856" width="1.7109375" style="193" customWidth="1"/>
    <col min="11857" max="12032" width="9.140625" style="193"/>
    <col min="12033" max="12033" width="0.28515625" style="193" customWidth="1"/>
    <col min="12034" max="12042" width="1.7109375" style="193" customWidth="1"/>
    <col min="12043" max="12043" width="0.28515625" style="193" customWidth="1"/>
    <col min="12044" max="12052" width="1.7109375" style="193" customWidth="1"/>
    <col min="12053" max="12053" width="0.28515625" style="193" customWidth="1"/>
    <col min="12054" max="12062" width="1.7109375" style="193" customWidth="1"/>
    <col min="12063" max="12063" width="0.28515625" style="193" customWidth="1"/>
    <col min="12064" max="12072" width="1.7109375" style="193" customWidth="1"/>
    <col min="12073" max="12073" width="0.28515625" style="193" customWidth="1"/>
    <col min="12074" max="12082" width="1.7109375" style="193" customWidth="1"/>
    <col min="12083" max="12083" width="0.28515625" style="193" customWidth="1"/>
    <col min="12084" max="12092" width="1.7109375" style="193" customWidth="1"/>
    <col min="12093" max="12093" width="0.28515625" style="193" customWidth="1"/>
    <col min="12094" max="12102" width="1.7109375" style="193" customWidth="1"/>
    <col min="12103" max="12103" width="0.28515625" style="193" customWidth="1"/>
    <col min="12104" max="12112" width="1.7109375" style="193" customWidth="1"/>
    <col min="12113" max="12288" width="9.140625" style="193"/>
    <col min="12289" max="12289" width="0.28515625" style="193" customWidth="1"/>
    <col min="12290" max="12298" width="1.7109375" style="193" customWidth="1"/>
    <col min="12299" max="12299" width="0.28515625" style="193" customWidth="1"/>
    <col min="12300" max="12308" width="1.7109375" style="193" customWidth="1"/>
    <col min="12309" max="12309" width="0.28515625" style="193" customWidth="1"/>
    <col min="12310" max="12318" width="1.7109375" style="193" customWidth="1"/>
    <col min="12319" max="12319" width="0.28515625" style="193" customWidth="1"/>
    <col min="12320" max="12328" width="1.7109375" style="193" customWidth="1"/>
    <col min="12329" max="12329" width="0.28515625" style="193" customWidth="1"/>
    <col min="12330" max="12338" width="1.7109375" style="193" customWidth="1"/>
    <col min="12339" max="12339" width="0.28515625" style="193" customWidth="1"/>
    <col min="12340" max="12348" width="1.7109375" style="193" customWidth="1"/>
    <col min="12349" max="12349" width="0.28515625" style="193" customWidth="1"/>
    <col min="12350" max="12358" width="1.7109375" style="193" customWidth="1"/>
    <col min="12359" max="12359" width="0.28515625" style="193" customWidth="1"/>
    <col min="12360" max="12368" width="1.7109375" style="193" customWidth="1"/>
    <col min="12369" max="12544" width="9.140625" style="193"/>
    <col min="12545" max="12545" width="0.28515625" style="193" customWidth="1"/>
    <col min="12546" max="12554" width="1.7109375" style="193" customWidth="1"/>
    <col min="12555" max="12555" width="0.28515625" style="193" customWidth="1"/>
    <col min="12556" max="12564" width="1.7109375" style="193" customWidth="1"/>
    <col min="12565" max="12565" width="0.28515625" style="193" customWidth="1"/>
    <col min="12566" max="12574" width="1.7109375" style="193" customWidth="1"/>
    <col min="12575" max="12575" width="0.28515625" style="193" customWidth="1"/>
    <col min="12576" max="12584" width="1.7109375" style="193" customWidth="1"/>
    <col min="12585" max="12585" width="0.28515625" style="193" customWidth="1"/>
    <col min="12586" max="12594" width="1.7109375" style="193" customWidth="1"/>
    <col min="12595" max="12595" width="0.28515625" style="193" customWidth="1"/>
    <col min="12596" max="12604" width="1.7109375" style="193" customWidth="1"/>
    <col min="12605" max="12605" width="0.28515625" style="193" customWidth="1"/>
    <col min="12606" max="12614" width="1.7109375" style="193" customWidth="1"/>
    <col min="12615" max="12615" width="0.28515625" style="193" customWidth="1"/>
    <col min="12616" max="12624" width="1.7109375" style="193" customWidth="1"/>
    <col min="12625" max="12800" width="9.140625" style="193"/>
    <col min="12801" max="12801" width="0.28515625" style="193" customWidth="1"/>
    <col min="12802" max="12810" width="1.7109375" style="193" customWidth="1"/>
    <col min="12811" max="12811" width="0.28515625" style="193" customWidth="1"/>
    <col min="12812" max="12820" width="1.7109375" style="193" customWidth="1"/>
    <col min="12821" max="12821" width="0.28515625" style="193" customWidth="1"/>
    <col min="12822" max="12830" width="1.7109375" style="193" customWidth="1"/>
    <col min="12831" max="12831" width="0.28515625" style="193" customWidth="1"/>
    <col min="12832" max="12840" width="1.7109375" style="193" customWidth="1"/>
    <col min="12841" max="12841" width="0.28515625" style="193" customWidth="1"/>
    <col min="12842" max="12850" width="1.7109375" style="193" customWidth="1"/>
    <col min="12851" max="12851" width="0.28515625" style="193" customWidth="1"/>
    <col min="12852" max="12860" width="1.7109375" style="193" customWidth="1"/>
    <col min="12861" max="12861" width="0.28515625" style="193" customWidth="1"/>
    <col min="12862" max="12870" width="1.7109375" style="193" customWidth="1"/>
    <col min="12871" max="12871" width="0.28515625" style="193" customWidth="1"/>
    <col min="12872" max="12880" width="1.7109375" style="193" customWidth="1"/>
    <col min="12881" max="13056" width="9.140625" style="193"/>
    <col min="13057" max="13057" width="0.28515625" style="193" customWidth="1"/>
    <col min="13058" max="13066" width="1.7109375" style="193" customWidth="1"/>
    <col min="13067" max="13067" width="0.28515625" style="193" customWidth="1"/>
    <col min="13068" max="13076" width="1.7109375" style="193" customWidth="1"/>
    <col min="13077" max="13077" width="0.28515625" style="193" customWidth="1"/>
    <col min="13078" max="13086" width="1.7109375" style="193" customWidth="1"/>
    <col min="13087" max="13087" width="0.28515625" style="193" customWidth="1"/>
    <col min="13088" max="13096" width="1.7109375" style="193" customWidth="1"/>
    <col min="13097" max="13097" width="0.28515625" style="193" customWidth="1"/>
    <col min="13098" max="13106" width="1.7109375" style="193" customWidth="1"/>
    <col min="13107" max="13107" width="0.28515625" style="193" customWidth="1"/>
    <col min="13108" max="13116" width="1.7109375" style="193" customWidth="1"/>
    <col min="13117" max="13117" width="0.28515625" style="193" customWidth="1"/>
    <col min="13118" max="13126" width="1.7109375" style="193" customWidth="1"/>
    <col min="13127" max="13127" width="0.28515625" style="193" customWidth="1"/>
    <col min="13128" max="13136" width="1.7109375" style="193" customWidth="1"/>
    <col min="13137" max="13312" width="9.140625" style="193"/>
    <col min="13313" max="13313" width="0.28515625" style="193" customWidth="1"/>
    <col min="13314" max="13322" width="1.7109375" style="193" customWidth="1"/>
    <col min="13323" max="13323" width="0.28515625" style="193" customWidth="1"/>
    <col min="13324" max="13332" width="1.7109375" style="193" customWidth="1"/>
    <col min="13333" max="13333" width="0.28515625" style="193" customWidth="1"/>
    <col min="13334" max="13342" width="1.7109375" style="193" customWidth="1"/>
    <col min="13343" max="13343" width="0.28515625" style="193" customWidth="1"/>
    <col min="13344" max="13352" width="1.7109375" style="193" customWidth="1"/>
    <col min="13353" max="13353" width="0.28515625" style="193" customWidth="1"/>
    <col min="13354" max="13362" width="1.7109375" style="193" customWidth="1"/>
    <col min="13363" max="13363" width="0.28515625" style="193" customWidth="1"/>
    <col min="13364" max="13372" width="1.7109375" style="193" customWidth="1"/>
    <col min="13373" max="13373" width="0.28515625" style="193" customWidth="1"/>
    <col min="13374" max="13382" width="1.7109375" style="193" customWidth="1"/>
    <col min="13383" max="13383" width="0.28515625" style="193" customWidth="1"/>
    <col min="13384" max="13392" width="1.7109375" style="193" customWidth="1"/>
    <col min="13393" max="13568" width="9.140625" style="193"/>
    <col min="13569" max="13569" width="0.28515625" style="193" customWidth="1"/>
    <col min="13570" max="13578" width="1.7109375" style="193" customWidth="1"/>
    <col min="13579" max="13579" width="0.28515625" style="193" customWidth="1"/>
    <col min="13580" max="13588" width="1.7109375" style="193" customWidth="1"/>
    <col min="13589" max="13589" width="0.28515625" style="193" customWidth="1"/>
    <col min="13590" max="13598" width="1.7109375" style="193" customWidth="1"/>
    <col min="13599" max="13599" width="0.28515625" style="193" customWidth="1"/>
    <col min="13600" max="13608" width="1.7109375" style="193" customWidth="1"/>
    <col min="13609" max="13609" width="0.28515625" style="193" customWidth="1"/>
    <col min="13610" max="13618" width="1.7109375" style="193" customWidth="1"/>
    <col min="13619" max="13619" width="0.28515625" style="193" customWidth="1"/>
    <col min="13620" max="13628" width="1.7109375" style="193" customWidth="1"/>
    <col min="13629" max="13629" width="0.28515625" style="193" customWidth="1"/>
    <col min="13630" max="13638" width="1.7109375" style="193" customWidth="1"/>
    <col min="13639" max="13639" width="0.28515625" style="193" customWidth="1"/>
    <col min="13640" max="13648" width="1.7109375" style="193" customWidth="1"/>
    <col min="13649" max="13824" width="9.140625" style="193"/>
    <col min="13825" max="13825" width="0.28515625" style="193" customWidth="1"/>
    <col min="13826" max="13834" width="1.7109375" style="193" customWidth="1"/>
    <col min="13835" max="13835" width="0.28515625" style="193" customWidth="1"/>
    <col min="13836" max="13844" width="1.7109375" style="193" customWidth="1"/>
    <col min="13845" max="13845" width="0.28515625" style="193" customWidth="1"/>
    <col min="13846" max="13854" width="1.7109375" style="193" customWidth="1"/>
    <col min="13855" max="13855" width="0.28515625" style="193" customWidth="1"/>
    <col min="13856" max="13864" width="1.7109375" style="193" customWidth="1"/>
    <col min="13865" max="13865" width="0.28515625" style="193" customWidth="1"/>
    <col min="13866" max="13874" width="1.7109375" style="193" customWidth="1"/>
    <col min="13875" max="13875" width="0.28515625" style="193" customWidth="1"/>
    <col min="13876" max="13884" width="1.7109375" style="193" customWidth="1"/>
    <col min="13885" max="13885" width="0.28515625" style="193" customWidth="1"/>
    <col min="13886" max="13894" width="1.7109375" style="193" customWidth="1"/>
    <col min="13895" max="13895" width="0.28515625" style="193" customWidth="1"/>
    <col min="13896" max="13904" width="1.7109375" style="193" customWidth="1"/>
    <col min="13905" max="14080" width="9.140625" style="193"/>
    <col min="14081" max="14081" width="0.28515625" style="193" customWidth="1"/>
    <col min="14082" max="14090" width="1.7109375" style="193" customWidth="1"/>
    <col min="14091" max="14091" width="0.28515625" style="193" customWidth="1"/>
    <col min="14092" max="14100" width="1.7109375" style="193" customWidth="1"/>
    <col min="14101" max="14101" width="0.28515625" style="193" customWidth="1"/>
    <col min="14102" max="14110" width="1.7109375" style="193" customWidth="1"/>
    <col min="14111" max="14111" width="0.28515625" style="193" customWidth="1"/>
    <col min="14112" max="14120" width="1.7109375" style="193" customWidth="1"/>
    <col min="14121" max="14121" width="0.28515625" style="193" customWidth="1"/>
    <col min="14122" max="14130" width="1.7109375" style="193" customWidth="1"/>
    <col min="14131" max="14131" width="0.28515625" style="193" customWidth="1"/>
    <col min="14132" max="14140" width="1.7109375" style="193" customWidth="1"/>
    <col min="14141" max="14141" width="0.28515625" style="193" customWidth="1"/>
    <col min="14142" max="14150" width="1.7109375" style="193" customWidth="1"/>
    <col min="14151" max="14151" width="0.28515625" style="193" customWidth="1"/>
    <col min="14152" max="14160" width="1.7109375" style="193" customWidth="1"/>
    <col min="14161" max="14336" width="9.140625" style="193"/>
    <col min="14337" max="14337" width="0.28515625" style="193" customWidth="1"/>
    <col min="14338" max="14346" width="1.7109375" style="193" customWidth="1"/>
    <col min="14347" max="14347" width="0.28515625" style="193" customWidth="1"/>
    <col min="14348" max="14356" width="1.7109375" style="193" customWidth="1"/>
    <col min="14357" max="14357" width="0.28515625" style="193" customWidth="1"/>
    <col min="14358" max="14366" width="1.7109375" style="193" customWidth="1"/>
    <col min="14367" max="14367" width="0.28515625" style="193" customWidth="1"/>
    <col min="14368" max="14376" width="1.7109375" style="193" customWidth="1"/>
    <col min="14377" max="14377" width="0.28515625" style="193" customWidth="1"/>
    <col min="14378" max="14386" width="1.7109375" style="193" customWidth="1"/>
    <col min="14387" max="14387" width="0.28515625" style="193" customWidth="1"/>
    <col min="14388" max="14396" width="1.7109375" style="193" customWidth="1"/>
    <col min="14397" max="14397" width="0.28515625" style="193" customWidth="1"/>
    <col min="14398" max="14406" width="1.7109375" style="193" customWidth="1"/>
    <col min="14407" max="14407" width="0.28515625" style="193" customWidth="1"/>
    <col min="14408" max="14416" width="1.7109375" style="193" customWidth="1"/>
    <col min="14417" max="14592" width="9.140625" style="193"/>
    <col min="14593" max="14593" width="0.28515625" style="193" customWidth="1"/>
    <col min="14594" max="14602" width="1.7109375" style="193" customWidth="1"/>
    <col min="14603" max="14603" width="0.28515625" style="193" customWidth="1"/>
    <col min="14604" max="14612" width="1.7109375" style="193" customWidth="1"/>
    <col min="14613" max="14613" width="0.28515625" style="193" customWidth="1"/>
    <col min="14614" max="14622" width="1.7109375" style="193" customWidth="1"/>
    <col min="14623" max="14623" width="0.28515625" style="193" customWidth="1"/>
    <col min="14624" max="14632" width="1.7109375" style="193" customWidth="1"/>
    <col min="14633" max="14633" width="0.28515625" style="193" customWidth="1"/>
    <col min="14634" max="14642" width="1.7109375" style="193" customWidth="1"/>
    <col min="14643" max="14643" width="0.28515625" style="193" customWidth="1"/>
    <col min="14644" max="14652" width="1.7109375" style="193" customWidth="1"/>
    <col min="14653" max="14653" width="0.28515625" style="193" customWidth="1"/>
    <col min="14654" max="14662" width="1.7109375" style="193" customWidth="1"/>
    <col min="14663" max="14663" width="0.28515625" style="193" customWidth="1"/>
    <col min="14664" max="14672" width="1.7109375" style="193" customWidth="1"/>
    <col min="14673" max="14848" width="9.140625" style="193"/>
    <col min="14849" max="14849" width="0.28515625" style="193" customWidth="1"/>
    <col min="14850" max="14858" width="1.7109375" style="193" customWidth="1"/>
    <col min="14859" max="14859" width="0.28515625" style="193" customWidth="1"/>
    <col min="14860" max="14868" width="1.7109375" style="193" customWidth="1"/>
    <col min="14869" max="14869" width="0.28515625" style="193" customWidth="1"/>
    <col min="14870" max="14878" width="1.7109375" style="193" customWidth="1"/>
    <col min="14879" max="14879" width="0.28515625" style="193" customWidth="1"/>
    <col min="14880" max="14888" width="1.7109375" style="193" customWidth="1"/>
    <col min="14889" max="14889" width="0.28515625" style="193" customWidth="1"/>
    <col min="14890" max="14898" width="1.7109375" style="193" customWidth="1"/>
    <col min="14899" max="14899" width="0.28515625" style="193" customWidth="1"/>
    <col min="14900" max="14908" width="1.7109375" style="193" customWidth="1"/>
    <col min="14909" max="14909" width="0.28515625" style="193" customWidth="1"/>
    <col min="14910" max="14918" width="1.7109375" style="193" customWidth="1"/>
    <col min="14919" max="14919" width="0.28515625" style="193" customWidth="1"/>
    <col min="14920" max="14928" width="1.7109375" style="193" customWidth="1"/>
    <col min="14929" max="15104" width="9.140625" style="193"/>
    <col min="15105" max="15105" width="0.28515625" style="193" customWidth="1"/>
    <col min="15106" max="15114" width="1.7109375" style="193" customWidth="1"/>
    <col min="15115" max="15115" width="0.28515625" style="193" customWidth="1"/>
    <col min="15116" max="15124" width="1.7109375" style="193" customWidth="1"/>
    <col min="15125" max="15125" width="0.28515625" style="193" customWidth="1"/>
    <col min="15126" max="15134" width="1.7109375" style="193" customWidth="1"/>
    <col min="15135" max="15135" width="0.28515625" style="193" customWidth="1"/>
    <col min="15136" max="15144" width="1.7109375" style="193" customWidth="1"/>
    <col min="15145" max="15145" width="0.28515625" style="193" customWidth="1"/>
    <col min="15146" max="15154" width="1.7109375" style="193" customWidth="1"/>
    <col min="15155" max="15155" width="0.28515625" style="193" customWidth="1"/>
    <col min="15156" max="15164" width="1.7109375" style="193" customWidth="1"/>
    <col min="15165" max="15165" width="0.28515625" style="193" customWidth="1"/>
    <col min="15166" max="15174" width="1.7109375" style="193" customWidth="1"/>
    <col min="15175" max="15175" width="0.28515625" style="193" customWidth="1"/>
    <col min="15176" max="15184" width="1.7109375" style="193" customWidth="1"/>
    <col min="15185" max="15360" width="9.140625" style="193"/>
    <col min="15361" max="15361" width="0.28515625" style="193" customWidth="1"/>
    <col min="15362" max="15370" width="1.7109375" style="193" customWidth="1"/>
    <col min="15371" max="15371" width="0.28515625" style="193" customWidth="1"/>
    <col min="15372" max="15380" width="1.7109375" style="193" customWidth="1"/>
    <col min="15381" max="15381" width="0.28515625" style="193" customWidth="1"/>
    <col min="15382" max="15390" width="1.7109375" style="193" customWidth="1"/>
    <col min="15391" max="15391" width="0.28515625" style="193" customWidth="1"/>
    <col min="15392" max="15400" width="1.7109375" style="193" customWidth="1"/>
    <col min="15401" max="15401" width="0.28515625" style="193" customWidth="1"/>
    <col min="15402" max="15410" width="1.7109375" style="193" customWidth="1"/>
    <col min="15411" max="15411" width="0.28515625" style="193" customWidth="1"/>
    <col min="15412" max="15420" width="1.7109375" style="193" customWidth="1"/>
    <col min="15421" max="15421" width="0.28515625" style="193" customWidth="1"/>
    <col min="15422" max="15430" width="1.7109375" style="193" customWidth="1"/>
    <col min="15431" max="15431" width="0.28515625" style="193" customWidth="1"/>
    <col min="15432" max="15440" width="1.7109375" style="193" customWidth="1"/>
    <col min="15441" max="15616" width="9.140625" style="193"/>
    <col min="15617" max="15617" width="0.28515625" style="193" customWidth="1"/>
    <col min="15618" max="15626" width="1.7109375" style="193" customWidth="1"/>
    <col min="15627" max="15627" width="0.28515625" style="193" customWidth="1"/>
    <col min="15628" max="15636" width="1.7109375" style="193" customWidth="1"/>
    <col min="15637" max="15637" width="0.28515625" style="193" customWidth="1"/>
    <col min="15638" max="15646" width="1.7109375" style="193" customWidth="1"/>
    <col min="15647" max="15647" width="0.28515625" style="193" customWidth="1"/>
    <col min="15648" max="15656" width="1.7109375" style="193" customWidth="1"/>
    <col min="15657" max="15657" width="0.28515625" style="193" customWidth="1"/>
    <col min="15658" max="15666" width="1.7109375" style="193" customWidth="1"/>
    <col min="15667" max="15667" width="0.28515625" style="193" customWidth="1"/>
    <col min="15668" max="15676" width="1.7109375" style="193" customWidth="1"/>
    <col min="15677" max="15677" width="0.28515625" style="193" customWidth="1"/>
    <col min="15678" max="15686" width="1.7109375" style="193" customWidth="1"/>
    <col min="15687" max="15687" width="0.28515625" style="193" customWidth="1"/>
    <col min="15688" max="15696" width="1.7109375" style="193" customWidth="1"/>
    <col min="15697" max="15872" width="9.140625" style="193"/>
    <col min="15873" max="15873" width="0.28515625" style="193" customWidth="1"/>
    <col min="15874" max="15882" width="1.7109375" style="193" customWidth="1"/>
    <col min="15883" max="15883" width="0.28515625" style="193" customWidth="1"/>
    <col min="15884" max="15892" width="1.7109375" style="193" customWidth="1"/>
    <col min="15893" max="15893" width="0.28515625" style="193" customWidth="1"/>
    <col min="15894" max="15902" width="1.7109375" style="193" customWidth="1"/>
    <col min="15903" max="15903" width="0.28515625" style="193" customWidth="1"/>
    <col min="15904" max="15912" width="1.7109375" style="193" customWidth="1"/>
    <col min="15913" max="15913" width="0.28515625" style="193" customWidth="1"/>
    <col min="15914" max="15922" width="1.7109375" style="193" customWidth="1"/>
    <col min="15923" max="15923" width="0.28515625" style="193" customWidth="1"/>
    <col min="15924" max="15932" width="1.7109375" style="193" customWidth="1"/>
    <col min="15933" max="15933" width="0.28515625" style="193" customWidth="1"/>
    <col min="15934" max="15942" width="1.7109375" style="193" customWidth="1"/>
    <col min="15943" max="15943" width="0.28515625" style="193" customWidth="1"/>
    <col min="15944" max="15952" width="1.7109375" style="193" customWidth="1"/>
    <col min="15953" max="16128" width="9.140625" style="193"/>
    <col min="16129" max="16129" width="0.28515625" style="193" customWidth="1"/>
    <col min="16130" max="16138" width="1.7109375" style="193" customWidth="1"/>
    <col min="16139" max="16139" width="0.28515625" style="193" customWidth="1"/>
    <col min="16140" max="16148" width="1.7109375" style="193" customWidth="1"/>
    <col min="16149" max="16149" width="0.28515625" style="193" customWidth="1"/>
    <col min="16150" max="16158" width="1.7109375" style="193" customWidth="1"/>
    <col min="16159" max="16159" width="0.28515625" style="193" customWidth="1"/>
    <col min="16160" max="16168" width="1.7109375" style="193" customWidth="1"/>
    <col min="16169" max="16169" width="0.28515625" style="193" customWidth="1"/>
    <col min="16170" max="16178" width="1.7109375" style="193" customWidth="1"/>
    <col min="16179" max="16179" width="0.28515625" style="193" customWidth="1"/>
    <col min="16180" max="16188" width="1.7109375" style="193" customWidth="1"/>
    <col min="16189" max="16189" width="0.28515625" style="193" customWidth="1"/>
    <col min="16190" max="16198" width="1.7109375" style="193" customWidth="1"/>
    <col min="16199" max="16199" width="0.28515625" style="193" customWidth="1"/>
    <col min="16200" max="16208" width="1.7109375" style="193" customWidth="1"/>
    <col min="16209" max="16384" width="9.140625" style="193"/>
  </cols>
  <sheetData>
    <row r="1" spans="1:71" s="15" customFormat="1" ht="90.95" customHeight="1" x14ac:dyDescent="0.25">
      <c r="B1" s="65"/>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G1" s="80"/>
      <c r="BH1" s="80"/>
      <c r="BI1" s="80"/>
      <c r="BJ1" s="481" t="s">
        <v>0</v>
      </c>
      <c r="BK1" s="481"/>
      <c r="BL1" s="481"/>
      <c r="BM1" s="456"/>
      <c r="BN1" s="481"/>
      <c r="BO1" s="481"/>
      <c r="BP1" s="481"/>
      <c r="BQ1" s="481"/>
      <c r="BR1" s="481"/>
      <c r="BS1" s="481"/>
    </row>
    <row r="2" spans="1:71" s="15" customFormat="1" ht="27" customHeight="1" x14ac:dyDescent="0.25">
      <c r="B2" s="537" t="s">
        <v>730</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207"/>
    </row>
    <row r="3" spans="1:71" ht="18" customHeight="1" x14ac:dyDescent="0.25">
      <c r="A3" s="208"/>
      <c r="B3" s="567">
        <v>1.9</v>
      </c>
      <c r="C3" s="568"/>
      <c r="D3" s="568"/>
      <c r="E3" s="568"/>
      <c r="F3" s="568"/>
      <c r="G3" s="568"/>
      <c r="H3" s="568"/>
      <c r="I3" s="568"/>
      <c r="J3" s="568"/>
      <c r="K3" s="209"/>
      <c r="L3" s="569" t="s">
        <v>479</v>
      </c>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70"/>
      <c r="BS3" s="194"/>
    </row>
    <row r="4" spans="1:71" ht="1.5" customHeight="1" x14ac:dyDescent="0.25">
      <c r="B4" s="196"/>
      <c r="C4" s="192"/>
      <c r="D4" s="192"/>
      <c r="E4" s="192"/>
      <c r="F4" s="192"/>
      <c r="G4" s="192"/>
      <c r="H4" s="192"/>
      <c r="I4" s="192"/>
      <c r="J4" s="192"/>
      <c r="K4" s="192"/>
      <c r="L4" s="192"/>
      <c r="M4" s="192"/>
      <c r="N4" s="192"/>
      <c r="O4" s="192"/>
      <c r="P4" s="192"/>
      <c r="Q4" s="192"/>
      <c r="R4" s="192"/>
      <c r="S4" s="192"/>
      <c r="T4" s="192"/>
      <c r="U4" s="192"/>
      <c r="AP4" s="197"/>
      <c r="AQ4" s="197"/>
      <c r="AR4" s="197"/>
      <c r="AS4" s="197"/>
      <c r="AT4" s="197"/>
      <c r="AU4" s="197"/>
      <c r="AV4" s="197"/>
      <c r="AW4" s="197"/>
      <c r="AX4" s="197"/>
      <c r="AZ4" s="192"/>
      <c r="BA4" s="192"/>
      <c r="BB4" s="192"/>
      <c r="BC4" s="192"/>
      <c r="BD4" s="192"/>
      <c r="BE4" s="192"/>
      <c r="BF4" s="192"/>
      <c r="BG4" s="192"/>
      <c r="BH4" s="192"/>
      <c r="BI4" s="192"/>
      <c r="BJ4" s="192"/>
      <c r="BK4" s="192"/>
      <c r="BL4" s="192"/>
      <c r="BM4" s="192"/>
      <c r="BN4" s="192"/>
      <c r="BO4" s="192"/>
      <c r="BP4" s="192"/>
      <c r="BQ4" s="192"/>
      <c r="BR4" s="198"/>
      <c r="BS4" s="194"/>
    </row>
    <row r="5" spans="1:71" s="211" customFormat="1" ht="9" customHeight="1" x14ac:dyDescent="0.25">
      <c r="B5" s="556" t="s">
        <v>480</v>
      </c>
      <c r="C5" s="557"/>
      <c r="D5" s="558"/>
      <c r="E5" s="571" t="s">
        <v>481</v>
      </c>
      <c r="F5" s="554"/>
      <c r="G5" s="554"/>
      <c r="H5" s="554"/>
      <c r="I5" s="554"/>
      <c r="J5" s="555"/>
      <c r="K5" s="212"/>
      <c r="L5" s="556" t="s">
        <v>482</v>
      </c>
      <c r="M5" s="557"/>
      <c r="N5" s="558"/>
      <c r="O5" s="571" t="s">
        <v>481</v>
      </c>
      <c r="P5" s="554"/>
      <c r="Q5" s="554"/>
      <c r="R5" s="554"/>
      <c r="S5" s="554"/>
      <c r="T5" s="555"/>
      <c r="U5" s="212"/>
      <c r="V5" s="556" t="s">
        <v>483</v>
      </c>
      <c r="W5" s="557"/>
      <c r="X5" s="558"/>
      <c r="Y5" s="571" t="s">
        <v>481</v>
      </c>
      <c r="Z5" s="554"/>
      <c r="AA5" s="554"/>
      <c r="AB5" s="554"/>
      <c r="AC5" s="554"/>
      <c r="AD5" s="555"/>
      <c r="AE5" s="213"/>
      <c r="AF5" s="556" t="s">
        <v>484</v>
      </c>
      <c r="AG5" s="557"/>
      <c r="AH5" s="558"/>
      <c r="AI5" s="571" t="s">
        <v>481</v>
      </c>
      <c r="AJ5" s="554"/>
      <c r="AK5" s="554"/>
      <c r="AL5" s="554"/>
      <c r="AM5" s="554"/>
      <c r="AN5" s="555"/>
      <c r="AO5" s="214"/>
      <c r="AP5" s="556" t="s">
        <v>485</v>
      </c>
      <c r="AQ5" s="557"/>
      <c r="AR5" s="558"/>
      <c r="AS5" s="571" t="s">
        <v>486</v>
      </c>
      <c r="AT5" s="554"/>
      <c r="AU5" s="554"/>
      <c r="AV5" s="554"/>
      <c r="AW5" s="554"/>
      <c r="AX5" s="555"/>
      <c r="AY5" s="212"/>
      <c r="AZ5" s="556" t="s">
        <v>487</v>
      </c>
      <c r="BA5" s="557"/>
      <c r="BB5" s="558"/>
      <c r="BC5" s="571" t="s">
        <v>486</v>
      </c>
      <c r="BD5" s="554"/>
      <c r="BE5" s="554"/>
      <c r="BF5" s="554"/>
      <c r="BG5" s="554"/>
      <c r="BH5" s="555"/>
      <c r="BI5" s="212"/>
      <c r="BJ5" s="556" t="s">
        <v>488</v>
      </c>
      <c r="BK5" s="557"/>
      <c r="BL5" s="558"/>
      <c r="BM5" s="571" t="s">
        <v>486</v>
      </c>
      <c r="BN5" s="554"/>
      <c r="BO5" s="554"/>
      <c r="BP5" s="554"/>
      <c r="BQ5" s="554"/>
      <c r="BR5" s="555"/>
      <c r="BS5" s="215"/>
    </row>
    <row r="6" spans="1:71" s="216" customFormat="1" ht="9" customHeight="1" x14ac:dyDescent="0.25">
      <c r="B6" s="546" t="s">
        <v>489</v>
      </c>
      <c r="C6" s="547"/>
      <c r="D6" s="547"/>
      <c r="E6" s="547"/>
      <c r="F6" s="547"/>
      <c r="G6" s="547"/>
      <c r="H6" s="547"/>
      <c r="I6" s="547"/>
      <c r="J6" s="548"/>
      <c r="K6" s="218"/>
      <c r="L6" s="546" t="s">
        <v>489</v>
      </c>
      <c r="M6" s="547"/>
      <c r="N6" s="547"/>
      <c r="O6" s="547"/>
      <c r="P6" s="547"/>
      <c r="Q6" s="547"/>
      <c r="R6" s="547"/>
      <c r="S6" s="547"/>
      <c r="T6" s="548"/>
      <c r="U6" s="219"/>
      <c r="V6" s="546" t="s">
        <v>489</v>
      </c>
      <c r="W6" s="547"/>
      <c r="X6" s="547"/>
      <c r="Y6" s="547"/>
      <c r="Z6" s="547"/>
      <c r="AA6" s="547"/>
      <c r="AB6" s="547"/>
      <c r="AC6" s="547"/>
      <c r="AD6" s="548"/>
      <c r="AE6" s="218"/>
      <c r="AF6" s="546" t="s">
        <v>489</v>
      </c>
      <c r="AG6" s="547"/>
      <c r="AH6" s="547"/>
      <c r="AI6" s="547"/>
      <c r="AJ6" s="547"/>
      <c r="AK6" s="547"/>
      <c r="AL6" s="547"/>
      <c r="AM6" s="547"/>
      <c r="AN6" s="548"/>
      <c r="AO6" s="219"/>
      <c r="AP6" s="546" t="s">
        <v>490</v>
      </c>
      <c r="AQ6" s="547"/>
      <c r="AR6" s="547"/>
      <c r="AS6" s="547"/>
      <c r="AT6" s="547"/>
      <c r="AU6" s="547"/>
      <c r="AV6" s="547"/>
      <c r="AW6" s="547"/>
      <c r="AX6" s="548"/>
      <c r="AY6" s="219"/>
      <c r="AZ6" s="546" t="s">
        <v>490</v>
      </c>
      <c r="BA6" s="547"/>
      <c r="BB6" s="547"/>
      <c r="BC6" s="547"/>
      <c r="BD6" s="547"/>
      <c r="BE6" s="547"/>
      <c r="BF6" s="547"/>
      <c r="BG6" s="547"/>
      <c r="BH6" s="548"/>
      <c r="BI6" s="219"/>
      <c r="BJ6" s="546" t="s">
        <v>490</v>
      </c>
      <c r="BK6" s="547"/>
      <c r="BL6" s="547"/>
      <c r="BM6" s="547"/>
      <c r="BN6" s="547"/>
      <c r="BO6" s="547"/>
      <c r="BP6" s="547"/>
      <c r="BQ6" s="547"/>
      <c r="BR6" s="548"/>
      <c r="BS6" s="220"/>
    </row>
    <row r="7" spans="1:71" s="211" customFormat="1" ht="9" customHeight="1" x14ac:dyDescent="0.25">
      <c r="A7" s="221"/>
      <c r="B7" s="212"/>
      <c r="C7" s="212"/>
      <c r="D7" s="212"/>
      <c r="E7" s="212"/>
      <c r="F7" s="212"/>
      <c r="G7" s="212"/>
      <c r="H7" s="212"/>
      <c r="I7" s="212"/>
      <c r="J7" s="214"/>
      <c r="K7" s="222"/>
      <c r="L7" s="212"/>
      <c r="M7" s="212"/>
      <c r="N7" s="212"/>
      <c r="O7" s="212"/>
      <c r="P7" s="212"/>
      <c r="Q7" s="212"/>
      <c r="R7" s="212"/>
      <c r="S7" s="212"/>
      <c r="T7" s="214"/>
      <c r="U7" s="214"/>
      <c r="V7" s="212"/>
      <c r="W7" s="212"/>
      <c r="X7" s="212"/>
      <c r="Y7" s="212"/>
      <c r="Z7" s="212"/>
      <c r="AA7" s="212"/>
      <c r="AB7" s="212"/>
      <c r="AC7" s="212"/>
      <c r="AD7" s="214"/>
      <c r="AE7" s="222"/>
      <c r="AF7" s="212"/>
      <c r="AG7" s="212"/>
      <c r="AH7" s="212"/>
      <c r="AI7" s="212"/>
      <c r="AJ7" s="212"/>
      <c r="AK7" s="212"/>
      <c r="AL7" s="212"/>
      <c r="AM7" s="212"/>
      <c r="AN7" s="214"/>
      <c r="AO7" s="214"/>
      <c r="AP7" s="212"/>
      <c r="AQ7" s="212"/>
      <c r="AR7" s="212"/>
      <c r="AS7" s="212"/>
      <c r="AT7" s="212"/>
      <c r="AU7" s="212"/>
      <c r="AV7" s="212"/>
      <c r="AW7" s="212"/>
      <c r="AX7" s="214"/>
      <c r="AY7" s="214"/>
      <c r="AZ7" s="212"/>
      <c r="BA7" s="212"/>
      <c r="BB7" s="212"/>
      <c r="BC7" s="212"/>
      <c r="BD7" s="212"/>
      <c r="BE7" s="212"/>
      <c r="BF7" s="212"/>
      <c r="BG7" s="212"/>
      <c r="BH7" s="214"/>
      <c r="BI7" s="214"/>
      <c r="BJ7" s="212"/>
      <c r="BK7" s="212"/>
      <c r="BL7" s="212"/>
      <c r="BM7" s="212"/>
      <c r="BN7" s="212"/>
      <c r="BO7" s="212"/>
      <c r="BP7" s="212"/>
      <c r="BQ7" s="212"/>
      <c r="BR7" s="214"/>
      <c r="BS7" s="215"/>
    </row>
    <row r="8" spans="1:71" s="211" customFormat="1" ht="9" customHeight="1" x14ac:dyDescent="0.25">
      <c r="A8" s="221"/>
      <c r="B8" s="212"/>
      <c r="C8" s="212"/>
      <c r="D8" s="212"/>
      <c r="E8" s="212"/>
      <c r="F8" s="212"/>
      <c r="G8" s="212"/>
      <c r="H8" s="212"/>
      <c r="I8" s="212"/>
      <c r="J8" s="214"/>
      <c r="K8" s="222"/>
      <c r="L8" s="212"/>
      <c r="M8" s="212"/>
      <c r="N8" s="212"/>
      <c r="O8" s="212"/>
      <c r="P8" s="212"/>
      <c r="Q8" s="212"/>
      <c r="R8" s="212"/>
      <c r="S8" s="212"/>
      <c r="T8" s="214"/>
      <c r="U8" s="214"/>
      <c r="V8" s="212"/>
      <c r="W8" s="212"/>
      <c r="X8" s="212"/>
      <c r="Y8" s="212"/>
      <c r="Z8" s="212"/>
      <c r="AA8" s="212"/>
      <c r="AB8" s="212"/>
      <c r="AC8" s="212"/>
      <c r="AD8" s="214"/>
      <c r="AE8" s="222"/>
      <c r="AF8" s="212"/>
      <c r="AG8" s="212"/>
      <c r="AH8" s="212"/>
      <c r="AI8" s="212"/>
      <c r="AJ8" s="212"/>
      <c r="AK8" s="212"/>
      <c r="AL8" s="212"/>
      <c r="AM8" s="212"/>
      <c r="AN8" s="214"/>
      <c r="AO8" s="214"/>
      <c r="AP8" s="212"/>
      <c r="AQ8" s="212"/>
      <c r="AR8" s="212"/>
      <c r="AS8" s="212"/>
      <c r="AT8" s="212"/>
      <c r="AU8" s="212"/>
      <c r="AV8" s="212"/>
      <c r="AW8" s="212"/>
      <c r="AX8" s="214"/>
      <c r="AY8" s="214"/>
      <c r="AZ8" s="212"/>
      <c r="BA8" s="212"/>
      <c r="BB8" s="212"/>
      <c r="BC8" s="212"/>
      <c r="BD8" s="212"/>
      <c r="BE8" s="212"/>
      <c r="BF8" s="212"/>
      <c r="BG8" s="212"/>
      <c r="BH8" s="214"/>
      <c r="BI8" s="214"/>
      <c r="BJ8" s="212"/>
      <c r="BK8" s="212"/>
      <c r="BL8" s="212"/>
      <c r="BM8" s="212"/>
      <c r="BN8" s="212"/>
      <c r="BO8" s="212"/>
      <c r="BP8" s="212"/>
      <c r="BQ8" s="212"/>
      <c r="BR8" s="214"/>
      <c r="BS8" s="215"/>
    </row>
    <row r="9" spans="1:71" s="211" customFormat="1" ht="9" customHeight="1" x14ac:dyDescent="0.25">
      <c r="A9" s="221"/>
      <c r="B9" s="212"/>
      <c r="C9" s="212"/>
      <c r="D9" s="212"/>
      <c r="E9" s="212"/>
      <c r="F9" s="212"/>
      <c r="G9" s="212"/>
      <c r="H9" s="212"/>
      <c r="I9" s="212"/>
      <c r="J9" s="214"/>
      <c r="K9" s="222"/>
      <c r="L9" s="212"/>
      <c r="M9" s="212"/>
      <c r="N9" s="212"/>
      <c r="O9" s="212"/>
      <c r="P9" s="212"/>
      <c r="Q9" s="212"/>
      <c r="R9" s="212"/>
      <c r="S9" s="212"/>
      <c r="T9" s="214"/>
      <c r="U9" s="214"/>
      <c r="V9" s="212"/>
      <c r="W9" s="212"/>
      <c r="X9" s="212"/>
      <c r="Y9" s="212"/>
      <c r="Z9" s="212"/>
      <c r="AA9" s="212"/>
      <c r="AB9" s="212"/>
      <c r="AC9" s="212"/>
      <c r="AD9" s="214"/>
      <c r="AE9" s="222"/>
      <c r="AF9" s="212"/>
      <c r="AG9" s="212"/>
      <c r="AH9" s="212"/>
      <c r="AI9" s="212"/>
      <c r="AJ9" s="212"/>
      <c r="AK9" s="212"/>
      <c r="AL9" s="212"/>
      <c r="AM9" s="212"/>
      <c r="AN9" s="214"/>
      <c r="AO9" s="214"/>
      <c r="AP9" s="212"/>
      <c r="AQ9" s="212"/>
      <c r="AR9" s="212"/>
      <c r="AS9" s="212"/>
      <c r="AT9" s="212"/>
      <c r="AU9" s="212"/>
      <c r="AV9" s="212"/>
      <c r="AW9" s="212"/>
      <c r="AX9" s="214"/>
      <c r="AY9" s="214"/>
      <c r="AZ9" s="212"/>
      <c r="BA9" s="212"/>
      <c r="BB9" s="212"/>
      <c r="BC9" s="212"/>
      <c r="BD9" s="212"/>
      <c r="BE9" s="212"/>
      <c r="BF9" s="212"/>
      <c r="BG9" s="212"/>
      <c r="BH9" s="214"/>
      <c r="BI9" s="214"/>
      <c r="BJ9" s="212"/>
      <c r="BK9" s="212"/>
      <c r="BL9" s="212"/>
      <c r="BM9" s="212"/>
      <c r="BN9" s="212"/>
      <c r="BO9" s="212"/>
      <c r="BP9" s="212"/>
      <c r="BQ9" s="212"/>
      <c r="BR9" s="214"/>
      <c r="BS9" s="215"/>
    </row>
    <row r="10" spans="1:71" s="211" customFormat="1" ht="9" customHeight="1" x14ac:dyDescent="0.25">
      <c r="A10" s="221"/>
      <c r="B10" s="212"/>
      <c r="C10" s="212"/>
      <c r="D10" s="212"/>
      <c r="E10" s="212"/>
      <c r="F10" s="212"/>
      <c r="G10" s="212"/>
      <c r="H10" s="212"/>
      <c r="I10" s="212"/>
      <c r="J10" s="214"/>
      <c r="K10" s="222"/>
      <c r="L10" s="212"/>
      <c r="M10" s="212"/>
      <c r="N10" s="212"/>
      <c r="O10" s="212"/>
      <c r="P10" s="212"/>
      <c r="Q10" s="212"/>
      <c r="R10" s="212"/>
      <c r="S10" s="212"/>
      <c r="T10" s="214"/>
      <c r="U10" s="214"/>
      <c r="V10" s="212"/>
      <c r="W10" s="212"/>
      <c r="X10" s="212"/>
      <c r="Y10" s="212"/>
      <c r="Z10" s="212"/>
      <c r="AA10" s="212"/>
      <c r="AB10" s="212"/>
      <c r="AC10" s="212"/>
      <c r="AD10" s="214"/>
      <c r="AE10" s="222"/>
      <c r="AF10" s="212"/>
      <c r="AG10" s="212"/>
      <c r="AH10" s="212"/>
      <c r="AI10" s="212"/>
      <c r="AJ10" s="212"/>
      <c r="AK10" s="212"/>
      <c r="AL10" s="212"/>
      <c r="AM10" s="212"/>
      <c r="AN10" s="214"/>
      <c r="AO10" s="214"/>
      <c r="AP10" s="212"/>
      <c r="AQ10" s="212"/>
      <c r="AR10" s="212"/>
      <c r="AS10" s="212"/>
      <c r="AT10" s="212"/>
      <c r="AU10" s="212"/>
      <c r="AV10" s="212"/>
      <c r="AW10" s="212"/>
      <c r="AX10" s="214"/>
      <c r="AY10" s="222"/>
      <c r="AZ10" s="212"/>
      <c r="BA10" s="212"/>
      <c r="BB10" s="212"/>
      <c r="BC10" s="212"/>
      <c r="BD10" s="212"/>
      <c r="BE10" s="212"/>
      <c r="BF10" s="212"/>
      <c r="BG10" s="212"/>
      <c r="BH10" s="214"/>
      <c r="BI10" s="222"/>
      <c r="BJ10" s="212"/>
      <c r="BK10" s="212"/>
      <c r="BL10" s="212"/>
      <c r="BM10" s="212"/>
      <c r="BN10" s="212"/>
      <c r="BO10" s="212"/>
      <c r="BP10" s="212"/>
      <c r="BQ10" s="212"/>
      <c r="BR10" s="214"/>
      <c r="BS10" s="215"/>
    </row>
    <row r="11" spans="1:71" s="211" customFormat="1" ht="9.75" customHeight="1" x14ac:dyDescent="0.25">
      <c r="A11" s="221"/>
      <c r="B11" s="212"/>
      <c r="C11" s="212"/>
      <c r="D11" s="212"/>
      <c r="E11" s="212"/>
      <c r="F11" s="212"/>
      <c r="G11" s="212"/>
      <c r="H11" s="212"/>
      <c r="I11" s="212"/>
      <c r="J11" s="214"/>
      <c r="K11" s="222"/>
      <c r="L11" s="212"/>
      <c r="M11" s="212"/>
      <c r="N11" s="212"/>
      <c r="O11" s="212"/>
      <c r="P11" s="212"/>
      <c r="Q11" s="212"/>
      <c r="R11" s="212"/>
      <c r="S11" s="212"/>
      <c r="T11" s="214"/>
      <c r="U11" s="214"/>
      <c r="V11" s="212"/>
      <c r="W11" s="212"/>
      <c r="X11" s="212"/>
      <c r="Y11" s="212"/>
      <c r="Z11" s="212"/>
      <c r="AA11" s="212"/>
      <c r="AB11" s="212"/>
      <c r="AC11" s="212"/>
      <c r="AD11" s="214"/>
      <c r="AE11" s="222"/>
      <c r="AF11" s="212"/>
      <c r="AG11" s="212"/>
      <c r="AH11" s="212"/>
      <c r="AI11" s="212"/>
      <c r="AJ11" s="212"/>
      <c r="AK11" s="212"/>
      <c r="AL11" s="212"/>
      <c r="AM11" s="212"/>
      <c r="AN11" s="214"/>
      <c r="AO11" s="214"/>
      <c r="AP11" s="212"/>
      <c r="AQ11" s="212"/>
      <c r="AR11" s="212"/>
      <c r="AS11" s="212"/>
      <c r="AT11" s="212"/>
      <c r="AU11" s="212"/>
      <c r="AV11" s="212"/>
      <c r="AW11" s="212"/>
      <c r="AX11" s="214"/>
      <c r="AY11" s="222"/>
      <c r="AZ11" s="212"/>
      <c r="BA11" s="212"/>
      <c r="BB11" s="212"/>
      <c r="BC11" s="212"/>
      <c r="BD11" s="212"/>
      <c r="BE11" s="212"/>
      <c r="BF11" s="212"/>
      <c r="BG11" s="212"/>
      <c r="BH11" s="214"/>
      <c r="BI11" s="222"/>
      <c r="BJ11" s="212"/>
      <c r="BK11" s="212"/>
      <c r="BL11" s="212"/>
      <c r="BM11" s="212"/>
      <c r="BN11" s="212"/>
      <c r="BO11" s="212"/>
      <c r="BP11" s="212"/>
      <c r="BQ11" s="212"/>
      <c r="BR11" s="214"/>
      <c r="BS11" s="215"/>
    </row>
    <row r="12" spans="1:71" s="211" customFormat="1" ht="9" customHeight="1" x14ac:dyDescent="0.25">
      <c r="B12" s="223"/>
      <c r="C12" s="224"/>
      <c r="D12" s="224"/>
      <c r="E12" s="224"/>
      <c r="F12" s="224"/>
      <c r="G12" s="224"/>
      <c r="H12" s="224"/>
      <c r="I12" s="224"/>
      <c r="J12" s="225"/>
      <c r="K12" s="222"/>
      <c r="L12" s="224"/>
      <c r="M12" s="224"/>
      <c r="N12" s="224"/>
      <c r="O12" s="224"/>
      <c r="P12" s="224"/>
      <c r="Q12" s="224"/>
      <c r="R12" s="224"/>
      <c r="S12" s="224"/>
      <c r="T12" s="225"/>
      <c r="U12" s="214"/>
      <c r="V12" s="224"/>
      <c r="W12" s="224"/>
      <c r="X12" s="224"/>
      <c r="Y12" s="224"/>
      <c r="Z12" s="224"/>
      <c r="AA12" s="224"/>
      <c r="AB12" s="224"/>
      <c r="AC12" s="224"/>
      <c r="AD12" s="225"/>
      <c r="AE12" s="226"/>
      <c r="AF12" s="224"/>
      <c r="AG12" s="224"/>
      <c r="AH12" s="224"/>
      <c r="AI12" s="224"/>
      <c r="AJ12" s="224"/>
      <c r="AK12" s="224"/>
      <c r="AL12" s="224"/>
      <c r="AM12" s="224"/>
      <c r="AN12" s="225"/>
      <c r="AO12" s="225"/>
      <c r="AP12" s="224"/>
      <c r="AQ12" s="224"/>
      <c r="AR12" s="224"/>
      <c r="AS12" s="224"/>
      <c r="AT12" s="224"/>
      <c r="AU12" s="224"/>
      <c r="AV12" s="224"/>
      <c r="AW12" s="224"/>
      <c r="AX12" s="225"/>
      <c r="AY12" s="222"/>
      <c r="AZ12" s="224"/>
      <c r="BA12" s="224"/>
      <c r="BB12" s="224"/>
      <c r="BC12" s="224"/>
      <c r="BD12" s="224"/>
      <c r="BE12" s="224"/>
      <c r="BF12" s="224"/>
      <c r="BG12" s="224"/>
      <c r="BH12" s="225"/>
      <c r="BI12" s="222"/>
      <c r="BJ12" s="224"/>
      <c r="BK12" s="224"/>
      <c r="BL12" s="224"/>
      <c r="BM12" s="224"/>
      <c r="BN12" s="224"/>
      <c r="BO12" s="224"/>
      <c r="BP12" s="224"/>
      <c r="BQ12" s="224"/>
      <c r="BR12" s="225"/>
      <c r="BS12" s="215"/>
    </row>
    <row r="13" spans="1:71" s="211" customFormat="1" ht="9" customHeight="1" x14ac:dyDescent="0.25">
      <c r="B13" s="223"/>
      <c r="C13" s="224"/>
      <c r="D13" s="224"/>
      <c r="E13" s="224"/>
      <c r="F13" s="224"/>
      <c r="G13" s="224"/>
      <c r="H13" s="224"/>
      <c r="I13" s="224"/>
      <c r="J13" s="225"/>
      <c r="K13" s="222"/>
      <c r="L13" s="224"/>
      <c r="M13" s="224"/>
      <c r="N13" s="224"/>
      <c r="O13" s="224"/>
      <c r="P13" s="224"/>
      <c r="Q13" s="224"/>
      <c r="R13" s="224"/>
      <c r="S13" s="224"/>
      <c r="T13" s="225"/>
      <c r="U13" s="214"/>
      <c r="V13" s="224"/>
      <c r="W13" s="224"/>
      <c r="X13" s="224"/>
      <c r="Y13" s="224"/>
      <c r="Z13" s="224"/>
      <c r="AA13" s="224"/>
      <c r="AB13" s="224"/>
      <c r="AC13" s="224"/>
      <c r="AD13" s="225"/>
      <c r="AE13" s="226"/>
      <c r="AF13" s="224"/>
      <c r="AG13" s="224"/>
      <c r="AH13" s="224"/>
      <c r="AI13" s="224"/>
      <c r="AJ13" s="224"/>
      <c r="AK13" s="224"/>
      <c r="AL13" s="224"/>
      <c r="AM13" s="224"/>
      <c r="AN13" s="225"/>
      <c r="AO13" s="225"/>
      <c r="AP13" s="224"/>
      <c r="AQ13" s="224"/>
      <c r="AR13" s="224"/>
      <c r="AS13" s="224"/>
      <c r="AT13" s="224"/>
      <c r="AU13" s="224"/>
      <c r="AV13" s="224"/>
      <c r="AW13" s="224"/>
      <c r="AX13" s="225"/>
      <c r="AY13" s="222"/>
      <c r="AZ13" s="224"/>
      <c r="BA13" s="224"/>
      <c r="BB13" s="224"/>
      <c r="BC13" s="224"/>
      <c r="BD13" s="224"/>
      <c r="BE13" s="224"/>
      <c r="BF13" s="224"/>
      <c r="BG13" s="224"/>
      <c r="BH13" s="225"/>
      <c r="BI13" s="222"/>
      <c r="BJ13" s="224"/>
      <c r="BK13" s="224"/>
      <c r="BL13" s="224"/>
      <c r="BM13" s="224"/>
      <c r="BN13" s="224"/>
      <c r="BO13" s="224"/>
      <c r="BP13" s="224"/>
      <c r="BQ13" s="224"/>
      <c r="BR13" s="225"/>
      <c r="BS13" s="215"/>
    </row>
    <row r="14" spans="1:71" s="211" customFormat="1" ht="9" customHeight="1" x14ac:dyDescent="0.25">
      <c r="B14" s="223"/>
      <c r="C14" s="224"/>
      <c r="D14" s="224"/>
      <c r="E14" s="224"/>
      <c r="F14" s="224"/>
      <c r="G14" s="224"/>
      <c r="H14" s="224"/>
      <c r="I14" s="224"/>
      <c r="J14" s="225"/>
      <c r="K14" s="222"/>
      <c r="L14" s="224"/>
      <c r="M14" s="224"/>
      <c r="N14" s="224"/>
      <c r="O14" s="224"/>
      <c r="P14" s="224"/>
      <c r="Q14" s="224"/>
      <c r="R14" s="224"/>
      <c r="S14" s="224"/>
      <c r="T14" s="225"/>
      <c r="U14" s="214"/>
      <c r="V14" s="224"/>
      <c r="W14" s="224"/>
      <c r="X14" s="224"/>
      <c r="Y14" s="224"/>
      <c r="Z14" s="224"/>
      <c r="AA14" s="224"/>
      <c r="AB14" s="224"/>
      <c r="AC14" s="224"/>
      <c r="AD14" s="225"/>
      <c r="AE14" s="226"/>
      <c r="AF14" s="224"/>
      <c r="AG14" s="224"/>
      <c r="AH14" s="224"/>
      <c r="AI14" s="224"/>
      <c r="AJ14" s="224"/>
      <c r="AK14" s="224"/>
      <c r="AL14" s="224"/>
      <c r="AM14" s="224"/>
      <c r="AN14" s="225"/>
      <c r="AO14" s="225"/>
      <c r="AP14" s="224"/>
      <c r="AQ14" s="224"/>
      <c r="AR14" s="224"/>
      <c r="AS14" s="224"/>
      <c r="AT14" s="224"/>
      <c r="AU14" s="224"/>
      <c r="AV14" s="224"/>
      <c r="AW14" s="224"/>
      <c r="AX14" s="225"/>
      <c r="AY14" s="222"/>
      <c r="AZ14" s="224"/>
      <c r="BA14" s="224"/>
      <c r="BB14" s="224"/>
      <c r="BC14" s="224"/>
      <c r="BD14" s="224"/>
      <c r="BE14" s="224"/>
      <c r="BF14" s="224"/>
      <c r="BG14" s="224"/>
      <c r="BH14" s="225"/>
      <c r="BI14" s="222"/>
      <c r="BJ14" s="224"/>
      <c r="BK14" s="224"/>
      <c r="BL14" s="224"/>
      <c r="BM14" s="224"/>
      <c r="BN14" s="224"/>
      <c r="BO14" s="224"/>
      <c r="BP14" s="224"/>
      <c r="BQ14" s="224"/>
      <c r="BR14" s="225"/>
      <c r="BS14" s="215"/>
    </row>
    <row r="15" spans="1:71" s="211" customFormat="1" ht="9" customHeight="1" x14ac:dyDescent="0.25">
      <c r="B15" s="223"/>
      <c r="C15" s="224"/>
      <c r="D15" s="224"/>
      <c r="E15" s="224"/>
      <c r="F15" s="224"/>
      <c r="G15" s="224"/>
      <c r="H15" s="224"/>
      <c r="I15" s="224"/>
      <c r="J15" s="225"/>
      <c r="K15" s="222"/>
      <c r="L15" s="224"/>
      <c r="M15" s="224"/>
      <c r="N15" s="224"/>
      <c r="O15" s="224"/>
      <c r="P15" s="224"/>
      <c r="Q15" s="224"/>
      <c r="R15" s="224"/>
      <c r="S15" s="224"/>
      <c r="T15" s="225"/>
      <c r="U15" s="214"/>
      <c r="V15" s="224"/>
      <c r="W15" s="224"/>
      <c r="X15" s="224"/>
      <c r="Y15" s="224"/>
      <c r="Z15" s="224"/>
      <c r="AA15" s="224"/>
      <c r="AB15" s="224"/>
      <c r="AC15" s="224"/>
      <c r="AD15" s="225"/>
      <c r="AE15" s="226"/>
      <c r="AF15" s="224"/>
      <c r="AG15" s="224"/>
      <c r="AH15" s="224"/>
      <c r="AI15" s="224"/>
      <c r="AJ15" s="224"/>
      <c r="AK15" s="224"/>
      <c r="AL15" s="224"/>
      <c r="AM15" s="224"/>
      <c r="AN15" s="225"/>
      <c r="AO15" s="225"/>
      <c r="AP15" s="224"/>
      <c r="AQ15" s="224"/>
      <c r="AR15" s="224"/>
      <c r="AS15" s="224"/>
      <c r="AT15" s="224"/>
      <c r="AU15" s="224"/>
      <c r="AV15" s="224"/>
      <c r="AW15" s="224"/>
      <c r="AX15" s="225"/>
      <c r="AY15" s="222"/>
      <c r="AZ15" s="224"/>
      <c r="BA15" s="224"/>
      <c r="BB15" s="224"/>
      <c r="BC15" s="224"/>
      <c r="BD15" s="224"/>
      <c r="BE15" s="224"/>
      <c r="BF15" s="224"/>
      <c r="BG15" s="224"/>
      <c r="BH15" s="225"/>
      <c r="BI15" s="222"/>
      <c r="BJ15" s="224"/>
      <c r="BK15" s="224"/>
      <c r="BL15" s="224"/>
      <c r="BM15" s="224"/>
      <c r="BN15" s="224"/>
      <c r="BO15" s="224"/>
      <c r="BP15" s="224"/>
      <c r="BQ15" s="224"/>
      <c r="BR15" s="225"/>
      <c r="BS15" s="215"/>
    </row>
    <row r="16" spans="1:71" s="211" customFormat="1" ht="9" customHeight="1" x14ac:dyDescent="0.25">
      <c r="B16" s="213"/>
      <c r="C16" s="212"/>
      <c r="D16" s="212"/>
      <c r="E16" s="212"/>
      <c r="F16" s="212"/>
      <c r="G16" s="212"/>
      <c r="H16" s="212"/>
      <c r="I16" s="212"/>
      <c r="J16" s="214"/>
      <c r="K16" s="222"/>
      <c r="L16" s="212"/>
      <c r="M16" s="212"/>
      <c r="N16" s="212"/>
      <c r="O16" s="212"/>
      <c r="P16" s="212"/>
      <c r="Q16" s="212"/>
      <c r="R16" s="212"/>
      <c r="S16" s="212"/>
      <c r="T16" s="214"/>
      <c r="U16" s="214"/>
      <c r="V16" s="212"/>
      <c r="W16" s="212"/>
      <c r="X16" s="212"/>
      <c r="Y16" s="212"/>
      <c r="Z16" s="212"/>
      <c r="AA16" s="212"/>
      <c r="AB16" s="212"/>
      <c r="AC16" s="212"/>
      <c r="AD16" s="214"/>
      <c r="AE16" s="222"/>
      <c r="AF16" s="212"/>
      <c r="AG16" s="212"/>
      <c r="AH16" s="212"/>
      <c r="AI16" s="212"/>
      <c r="AJ16" s="212"/>
      <c r="AK16" s="212"/>
      <c r="AL16" s="212"/>
      <c r="AM16" s="212"/>
      <c r="AN16" s="214"/>
      <c r="AO16" s="214"/>
      <c r="AP16" s="561" t="s">
        <v>491</v>
      </c>
      <c r="AQ16" s="562"/>
      <c r="AR16" s="562"/>
      <c r="AS16" s="562"/>
      <c r="AT16" s="562"/>
      <c r="AU16" s="562"/>
      <c r="AV16" s="562"/>
      <c r="AW16" s="562"/>
      <c r="AX16" s="563"/>
      <c r="AY16" s="222"/>
      <c r="AZ16" s="561" t="s">
        <v>491</v>
      </c>
      <c r="BA16" s="562"/>
      <c r="BB16" s="562"/>
      <c r="BC16" s="562"/>
      <c r="BD16" s="562"/>
      <c r="BE16" s="562"/>
      <c r="BF16" s="562"/>
      <c r="BG16" s="562"/>
      <c r="BH16" s="563"/>
      <c r="BI16" s="222"/>
      <c r="BJ16" s="561" t="s">
        <v>491</v>
      </c>
      <c r="BK16" s="562"/>
      <c r="BL16" s="562"/>
      <c r="BM16" s="562"/>
      <c r="BN16" s="562"/>
      <c r="BO16" s="562"/>
      <c r="BP16" s="562"/>
      <c r="BQ16" s="562"/>
      <c r="BR16" s="563"/>
      <c r="BS16" s="215"/>
    </row>
    <row r="17" spans="1:71" s="211" customFormat="1" ht="9" customHeight="1" x14ac:dyDescent="0.25">
      <c r="B17" s="543" t="s">
        <v>492</v>
      </c>
      <c r="C17" s="543"/>
      <c r="D17" s="543"/>
      <c r="E17" s="543"/>
      <c r="F17" s="543"/>
      <c r="G17" s="542">
        <f>CEILING(1264*B3,1)</f>
        <v>2402</v>
      </c>
      <c r="H17" s="542"/>
      <c r="I17" s="542"/>
      <c r="J17" s="542"/>
      <c r="K17" s="200"/>
      <c r="L17" s="543" t="s">
        <v>492</v>
      </c>
      <c r="M17" s="543"/>
      <c r="N17" s="543"/>
      <c r="O17" s="543"/>
      <c r="P17" s="543"/>
      <c r="Q17" s="542">
        <f>CEILING(1944*B3,1)</f>
        <v>3694</v>
      </c>
      <c r="R17" s="542"/>
      <c r="S17" s="542"/>
      <c r="T17" s="542"/>
      <c r="U17" s="200"/>
      <c r="V17" s="543" t="s">
        <v>492</v>
      </c>
      <c r="W17" s="543"/>
      <c r="X17" s="543"/>
      <c r="Y17" s="543"/>
      <c r="Z17" s="543"/>
      <c r="AA17" s="542">
        <f>CEILING(2401*B3,1)</f>
        <v>4562</v>
      </c>
      <c r="AB17" s="542"/>
      <c r="AC17" s="542"/>
      <c r="AD17" s="542"/>
      <c r="AE17" s="200"/>
      <c r="AF17" s="543" t="s">
        <v>492</v>
      </c>
      <c r="AG17" s="543"/>
      <c r="AH17" s="543"/>
      <c r="AI17" s="543"/>
      <c r="AJ17" s="543"/>
      <c r="AK17" s="542">
        <f>CEILING(2958*B3,1)</f>
        <v>5621</v>
      </c>
      <c r="AL17" s="542"/>
      <c r="AM17" s="542"/>
      <c r="AN17" s="542"/>
      <c r="AO17" s="200"/>
      <c r="AP17" s="543" t="s">
        <v>492</v>
      </c>
      <c r="AQ17" s="543"/>
      <c r="AR17" s="543"/>
      <c r="AS17" s="543"/>
      <c r="AT17" s="543"/>
      <c r="AU17" s="542">
        <f>CEILING(1346*B3,1)</f>
        <v>2558</v>
      </c>
      <c r="AV17" s="542"/>
      <c r="AW17" s="542"/>
      <c r="AX17" s="542"/>
      <c r="AY17" s="200"/>
      <c r="AZ17" s="543" t="s">
        <v>492</v>
      </c>
      <c r="BA17" s="543"/>
      <c r="BB17" s="543"/>
      <c r="BC17" s="543"/>
      <c r="BD17" s="543"/>
      <c r="BE17" s="542">
        <f>CEILING(1442*B3,1)</f>
        <v>2740</v>
      </c>
      <c r="BF17" s="542"/>
      <c r="BG17" s="542"/>
      <c r="BH17" s="542"/>
      <c r="BI17" s="200"/>
      <c r="BJ17" s="543" t="s">
        <v>492</v>
      </c>
      <c r="BK17" s="543"/>
      <c r="BL17" s="543"/>
      <c r="BM17" s="543"/>
      <c r="BN17" s="543"/>
      <c r="BO17" s="542">
        <f>CEILING(1712*B3,1)</f>
        <v>3253</v>
      </c>
      <c r="BP17" s="542"/>
      <c r="BQ17" s="542"/>
      <c r="BR17" s="542"/>
      <c r="BS17" s="215"/>
    </row>
    <row r="18" spans="1:71" s="211" customFormat="1" ht="1.5" customHeight="1" x14ac:dyDescent="0.25">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27"/>
      <c r="Z18" s="227"/>
      <c r="AA18" s="227"/>
      <c r="AB18" s="227"/>
      <c r="AC18" s="227"/>
      <c r="AD18" s="227"/>
      <c r="AE18" s="212"/>
      <c r="AF18" s="212"/>
      <c r="AG18" s="212"/>
      <c r="AH18" s="212"/>
      <c r="AI18" s="212"/>
      <c r="AJ18" s="212"/>
      <c r="AK18" s="212"/>
      <c r="AL18" s="212"/>
      <c r="AM18" s="212"/>
      <c r="AN18" s="212"/>
      <c r="AO18" s="212"/>
      <c r="AP18" s="212"/>
      <c r="AQ18" s="227"/>
      <c r="AR18" s="227"/>
      <c r="AS18" s="227"/>
      <c r="AT18" s="227"/>
      <c r="AU18" s="227"/>
      <c r="AV18" s="227"/>
      <c r="AW18" s="227"/>
      <c r="AX18" s="227"/>
      <c r="AY18" s="212"/>
      <c r="AZ18" s="212"/>
      <c r="BA18" s="212"/>
      <c r="BB18" s="212"/>
      <c r="BC18" s="212"/>
      <c r="BD18" s="212"/>
      <c r="BE18" s="212"/>
      <c r="BF18" s="212"/>
      <c r="BG18" s="212"/>
      <c r="BH18" s="212"/>
      <c r="BI18" s="212"/>
      <c r="BJ18" s="212"/>
      <c r="BK18" s="212"/>
      <c r="BL18" s="212"/>
      <c r="BM18" s="212"/>
      <c r="BN18" s="212"/>
      <c r="BO18" s="212"/>
      <c r="BP18" s="212"/>
      <c r="BQ18" s="212"/>
      <c r="BR18" s="212"/>
      <c r="BS18" s="215"/>
    </row>
    <row r="19" spans="1:71" s="211" customFormat="1" ht="9" customHeight="1" x14ac:dyDescent="0.25">
      <c r="B19" s="556" t="s">
        <v>493</v>
      </c>
      <c r="C19" s="557"/>
      <c r="D19" s="558"/>
      <c r="E19" s="554" t="s">
        <v>481</v>
      </c>
      <c r="F19" s="554"/>
      <c r="G19" s="554"/>
      <c r="H19" s="554"/>
      <c r="I19" s="554"/>
      <c r="J19" s="555"/>
      <c r="K19" s="212"/>
      <c r="L19" s="556" t="s">
        <v>494</v>
      </c>
      <c r="M19" s="557"/>
      <c r="N19" s="558"/>
      <c r="O19" s="554" t="s">
        <v>481</v>
      </c>
      <c r="P19" s="554"/>
      <c r="Q19" s="554"/>
      <c r="R19" s="554"/>
      <c r="S19" s="554"/>
      <c r="T19" s="555"/>
      <c r="U19" s="212"/>
      <c r="V19" s="556" t="s">
        <v>495</v>
      </c>
      <c r="W19" s="557"/>
      <c r="X19" s="558"/>
      <c r="Y19" s="554" t="s">
        <v>481</v>
      </c>
      <c r="Z19" s="554"/>
      <c r="AA19" s="554"/>
      <c r="AB19" s="554"/>
      <c r="AC19" s="554"/>
      <c r="AD19" s="555"/>
      <c r="AE19" s="212"/>
      <c r="AF19" s="556" t="s">
        <v>496</v>
      </c>
      <c r="AG19" s="557"/>
      <c r="AH19" s="558"/>
      <c r="AI19" s="554" t="s">
        <v>481</v>
      </c>
      <c r="AJ19" s="554"/>
      <c r="AK19" s="554"/>
      <c r="AL19" s="554"/>
      <c r="AM19" s="554"/>
      <c r="AN19" s="555"/>
      <c r="AO19" s="212"/>
      <c r="AP19" s="556" t="s">
        <v>497</v>
      </c>
      <c r="AQ19" s="557"/>
      <c r="AR19" s="558"/>
      <c r="AS19" s="554" t="s">
        <v>481</v>
      </c>
      <c r="AT19" s="554"/>
      <c r="AU19" s="554"/>
      <c r="AV19" s="554"/>
      <c r="AW19" s="554"/>
      <c r="AX19" s="555"/>
      <c r="AY19" s="212"/>
      <c r="AZ19" s="556" t="s">
        <v>498</v>
      </c>
      <c r="BA19" s="557"/>
      <c r="BB19" s="558"/>
      <c r="BC19" s="554" t="s">
        <v>481</v>
      </c>
      <c r="BD19" s="554"/>
      <c r="BE19" s="554"/>
      <c r="BF19" s="554"/>
      <c r="BG19" s="554"/>
      <c r="BH19" s="555"/>
      <c r="BI19" s="212"/>
      <c r="BJ19" s="556" t="s">
        <v>499</v>
      </c>
      <c r="BK19" s="557"/>
      <c r="BL19" s="558"/>
      <c r="BM19" s="554" t="s">
        <v>481</v>
      </c>
      <c r="BN19" s="554"/>
      <c r="BO19" s="554"/>
      <c r="BP19" s="554"/>
      <c r="BQ19" s="554"/>
      <c r="BR19" s="555"/>
      <c r="BS19" s="215"/>
    </row>
    <row r="20" spans="1:71" s="216" customFormat="1" ht="9" customHeight="1" x14ac:dyDescent="0.25">
      <c r="B20" s="546" t="s">
        <v>500</v>
      </c>
      <c r="C20" s="547"/>
      <c r="D20" s="547"/>
      <c r="E20" s="547"/>
      <c r="F20" s="547"/>
      <c r="G20" s="547"/>
      <c r="H20" s="547"/>
      <c r="I20" s="547"/>
      <c r="J20" s="548"/>
      <c r="K20" s="218"/>
      <c r="L20" s="546" t="s">
        <v>500</v>
      </c>
      <c r="M20" s="547"/>
      <c r="N20" s="547"/>
      <c r="O20" s="547"/>
      <c r="P20" s="547"/>
      <c r="Q20" s="547"/>
      <c r="R20" s="547"/>
      <c r="S20" s="547"/>
      <c r="T20" s="548"/>
      <c r="U20" s="228"/>
      <c r="V20" s="546" t="s">
        <v>500</v>
      </c>
      <c r="W20" s="547"/>
      <c r="X20" s="547"/>
      <c r="Y20" s="547"/>
      <c r="Z20" s="547"/>
      <c r="AA20" s="547"/>
      <c r="AB20" s="547"/>
      <c r="AC20" s="547"/>
      <c r="AD20" s="548"/>
      <c r="AE20" s="218"/>
      <c r="AF20" s="546" t="s">
        <v>500</v>
      </c>
      <c r="AG20" s="547"/>
      <c r="AH20" s="547"/>
      <c r="AI20" s="547"/>
      <c r="AJ20" s="547"/>
      <c r="AK20" s="547"/>
      <c r="AL20" s="547"/>
      <c r="AM20" s="547"/>
      <c r="AN20" s="548"/>
      <c r="AO20" s="228"/>
      <c r="AP20" s="546" t="s">
        <v>500</v>
      </c>
      <c r="AQ20" s="547"/>
      <c r="AR20" s="547"/>
      <c r="AS20" s="547"/>
      <c r="AT20" s="547"/>
      <c r="AU20" s="547"/>
      <c r="AV20" s="547"/>
      <c r="AW20" s="547"/>
      <c r="AX20" s="548"/>
      <c r="AY20" s="218"/>
      <c r="AZ20" s="546" t="s">
        <v>500</v>
      </c>
      <c r="BA20" s="547"/>
      <c r="BB20" s="547"/>
      <c r="BC20" s="547"/>
      <c r="BD20" s="547"/>
      <c r="BE20" s="547"/>
      <c r="BF20" s="547"/>
      <c r="BG20" s="547"/>
      <c r="BH20" s="548"/>
      <c r="BI20" s="228"/>
      <c r="BJ20" s="546" t="s">
        <v>500</v>
      </c>
      <c r="BK20" s="547"/>
      <c r="BL20" s="547"/>
      <c r="BM20" s="547"/>
      <c r="BN20" s="547"/>
      <c r="BO20" s="547"/>
      <c r="BP20" s="547"/>
      <c r="BQ20" s="547"/>
      <c r="BR20" s="548"/>
      <c r="BS20" s="220"/>
    </row>
    <row r="21" spans="1:71" s="211" customFormat="1" ht="9" customHeight="1" x14ac:dyDescent="0.25">
      <c r="A21" s="221"/>
      <c r="B21" s="213"/>
      <c r="C21" s="212"/>
      <c r="D21" s="212"/>
      <c r="E21" s="212"/>
      <c r="F21" s="212"/>
      <c r="G21" s="212"/>
      <c r="H21" s="212"/>
      <c r="I21" s="212"/>
      <c r="J21" s="214"/>
      <c r="K21" s="212"/>
      <c r="L21" s="213"/>
      <c r="M21" s="212"/>
      <c r="N21" s="212"/>
      <c r="O21" s="212"/>
      <c r="P21" s="212"/>
      <c r="Q21" s="212"/>
      <c r="R21" s="212"/>
      <c r="S21" s="212"/>
      <c r="T21" s="214"/>
      <c r="U21" s="222"/>
      <c r="V21" s="212"/>
      <c r="W21" s="212"/>
      <c r="X21" s="212"/>
      <c r="Y21" s="212"/>
      <c r="Z21" s="212"/>
      <c r="AA21" s="212"/>
      <c r="AB21" s="212"/>
      <c r="AC21" s="212"/>
      <c r="AD21" s="214"/>
      <c r="AE21" s="212"/>
      <c r="AF21" s="213"/>
      <c r="AG21" s="212"/>
      <c r="AH21" s="212"/>
      <c r="AI21" s="212"/>
      <c r="AJ21" s="212"/>
      <c r="AK21" s="212"/>
      <c r="AL21" s="212"/>
      <c r="AM21" s="212"/>
      <c r="AN21" s="214"/>
      <c r="AO21" s="222"/>
      <c r="AP21" s="212"/>
      <c r="AQ21" s="212"/>
      <c r="AR21" s="212"/>
      <c r="AS21" s="212"/>
      <c r="AT21" s="212"/>
      <c r="AU21" s="212"/>
      <c r="AV21" s="212"/>
      <c r="AW21" s="212"/>
      <c r="AX21" s="214"/>
      <c r="AY21" s="212"/>
      <c r="AZ21" s="213"/>
      <c r="BA21" s="212"/>
      <c r="BB21" s="212"/>
      <c r="BC21" s="212"/>
      <c r="BD21" s="212"/>
      <c r="BE21" s="212"/>
      <c r="BF21" s="212"/>
      <c r="BG21" s="212"/>
      <c r="BH21" s="214"/>
      <c r="BI21" s="222"/>
      <c r="BJ21" s="212"/>
      <c r="BK21" s="212"/>
      <c r="BL21" s="212"/>
      <c r="BM21" s="212"/>
      <c r="BN21" s="212"/>
      <c r="BO21" s="212"/>
      <c r="BP21" s="212"/>
      <c r="BQ21" s="212"/>
      <c r="BR21" s="214"/>
      <c r="BS21" s="215"/>
    </row>
    <row r="22" spans="1:71" s="211" customFormat="1" ht="9" customHeight="1" x14ac:dyDescent="0.25">
      <c r="A22" s="221"/>
      <c r="B22" s="213"/>
      <c r="C22" s="212"/>
      <c r="D22" s="212"/>
      <c r="E22" s="212"/>
      <c r="F22" s="212"/>
      <c r="G22" s="212"/>
      <c r="H22" s="212"/>
      <c r="I22" s="212"/>
      <c r="J22" s="214"/>
      <c r="K22" s="212"/>
      <c r="L22" s="213"/>
      <c r="M22" s="212"/>
      <c r="N22" s="212"/>
      <c r="O22" s="212"/>
      <c r="P22" s="212"/>
      <c r="Q22" s="212"/>
      <c r="R22" s="212"/>
      <c r="S22" s="212"/>
      <c r="T22" s="214"/>
      <c r="U22" s="222"/>
      <c r="V22" s="212"/>
      <c r="W22" s="212"/>
      <c r="X22" s="212"/>
      <c r="Y22" s="212"/>
      <c r="Z22" s="212"/>
      <c r="AA22" s="212"/>
      <c r="AB22" s="212"/>
      <c r="AC22" s="212"/>
      <c r="AD22" s="214"/>
      <c r="AE22" s="212"/>
      <c r="AF22" s="213"/>
      <c r="AG22" s="212"/>
      <c r="AH22" s="212"/>
      <c r="AI22" s="212"/>
      <c r="AJ22" s="212"/>
      <c r="AK22" s="212"/>
      <c r="AL22" s="212"/>
      <c r="AM22" s="212"/>
      <c r="AN22" s="214"/>
      <c r="AO22" s="222"/>
      <c r="AP22" s="212"/>
      <c r="AQ22" s="212"/>
      <c r="AR22" s="212"/>
      <c r="AS22" s="212"/>
      <c r="AT22" s="212"/>
      <c r="AU22" s="212"/>
      <c r="AV22" s="212"/>
      <c r="AW22" s="212"/>
      <c r="AX22" s="214"/>
      <c r="AY22" s="212"/>
      <c r="AZ22" s="213"/>
      <c r="BA22" s="212"/>
      <c r="BB22" s="212"/>
      <c r="BC22" s="212"/>
      <c r="BD22" s="212"/>
      <c r="BE22" s="212"/>
      <c r="BF22" s="212"/>
      <c r="BG22" s="212"/>
      <c r="BH22" s="214"/>
      <c r="BI22" s="222"/>
      <c r="BJ22" s="212"/>
      <c r="BK22" s="212"/>
      <c r="BL22" s="212"/>
      <c r="BM22" s="212"/>
      <c r="BN22" s="212"/>
      <c r="BO22" s="212"/>
      <c r="BP22" s="212"/>
      <c r="BQ22" s="212"/>
      <c r="BR22" s="214"/>
      <c r="BS22" s="215"/>
    </row>
    <row r="23" spans="1:71" s="211" customFormat="1" ht="9.75" customHeight="1" x14ac:dyDescent="0.25">
      <c r="A23" s="221"/>
      <c r="B23" s="213"/>
      <c r="C23" s="212"/>
      <c r="D23" s="212"/>
      <c r="E23" s="212"/>
      <c r="F23" s="212"/>
      <c r="G23" s="212"/>
      <c r="H23" s="212"/>
      <c r="I23" s="212"/>
      <c r="J23" s="214"/>
      <c r="K23" s="212"/>
      <c r="L23" s="213"/>
      <c r="M23" s="212"/>
      <c r="N23" s="212"/>
      <c r="O23" s="212"/>
      <c r="P23" s="212"/>
      <c r="Q23" s="212"/>
      <c r="R23" s="212"/>
      <c r="S23" s="212"/>
      <c r="T23" s="214"/>
      <c r="U23" s="222"/>
      <c r="V23" s="212"/>
      <c r="W23" s="212"/>
      <c r="X23" s="212"/>
      <c r="Y23" s="212"/>
      <c r="Z23" s="212"/>
      <c r="AA23" s="212"/>
      <c r="AB23" s="212"/>
      <c r="AC23" s="212"/>
      <c r="AD23" s="214"/>
      <c r="AE23" s="212"/>
      <c r="AF23" s="213"/>
      <c r="AG23" s="212"/>
      <c r="AH23" s="212"/>
      <c r="AI23" s="212"/>
      <c r="AJ23" s="212"/>
      <c r="AK23" s="212"/>
      <c r="AL23" s="212"/>
      <c r="AM23" s="212"/>
      <c r="AN23" s="214"/>
      <c r="AO23" s="222"/>
      <c r="AP23" s="212"/>
      <c r="AQ23" s="212"/>
      <c r="AR23" s="212"/>
      <c r="AS23" s="212"/>
      <c r="AT23" s="212"/>
      <c r="AU23" s="212"/>
      <c r="AV23" s="212"/>
      <c r="AW23" s="212"/>
      <c r="AX23" s="214"/>
      <c r="AY23" s="212"/>
      <c r="AZ23" s="213"/>
      <c r="BA23" s="212"/>
      <c r="BB23" s="212"/>
      <c r="BC23" s="212"/>
      <c r="BD23" s="212"/>
      <c r="BE23" s="212"/>
      <c r="BF23" s="212"/>
      <c r="BG23" s="212"/>
      <c r="BH23" s="214"/>
      <c r="BI23" s="222"/>
      <c r="BJ23" s="212"/>
      <c r="BK23" s="212"/>
      <c r="BL23" s="212"/>
      <c r="BM23" s="212"/>
      <c r="BN23" s="212"/>
      <c r="BO23" s="212"/>
      <c r="BP23" s="212"/>
      <c r="BQ23" s="212"/>
      <c r="BR23" s="214"/>
      <c r="BS23" s="215"/>
    </row>
    <row r="24" spans="1:71" s="235" customFormat="1" ht="9" customHeight="1" x14ac:dyDescent="0.25">
      <c r="A24" s="229"/>
      <c r="B24" s="230"/>
      <c r="C24" s="231"/>
      <c r="D24" s="231"/>
      <c r="E24" s="231"/>
      <c r="F24" s="231"/>
      <c r="G24" s="231"/>
      <c r="H24" s="231"/>
      <c r="I24" s="231"/>
      <c r="J24" s="232"/>
      <c r="K24" s="231"/>
      <c r="L24" s="230"/>
      <c r="M24" s="231"/>
      <c r="N24" s="231"/>
      <c r="O24" s="231"/>
      <c r="P24" s="231"/>
      <c r="Q24" s="231"/>
      <c r="R24" s="231"/>
      <c r="S24" s="231"/>
      <c r="T24" s="232"/>
      <c r="U24" s="233"/>
      <c r="V24" s="231"/>
      <c r="W24" s="231"/>
      <c r="X24" s="231"/>
      <c r="Y24" s="231"/>
      <c r="Z24" s="231"/>
      <c r="AA24" s="231"/>
      <c r="AB24" s="231"/>
      <c r="AC24" s="231"/>
      <c r="AD24" s="232"/>
      <c r="AE24" s="231"/>
      <c r="AF24" s="230"/>
      <c r="AG24" s="231"/>
      <c r="AH24" s="231"/>
      <c r="AI24" s="231"/>
      <c r="AJ24" s="231"/>
      <c r="AK24" s="231"/>
      <c r="AL24" s="231"/>
      <c r="AM24" s="231"/>
      <c r="AN24" s="232"/>
      <c r="AO24" s="233"/>
      <c r="AP24" s="231"/>
      <c r="AQ24" s="231"/>
      <c r="AR24" s="231"/>
      <c r="AS24" s="231"/>
      <c r="AT24" s="231"/>
      <c r="AU24" s="231"/>
      <c r="AV24" s="231"/>
      <c r="AW24" s="231"/>
      <c r="AX24" s="232"/>
      <c r="AY24" s="231"/>
      <c r="AZ24" s="230"/>
      <c r="BA24" s="231"/>
      <c r="BB24" s="231"/>
      <c r="BC24" s="231"/>
      <c r="BD24" s="231"/>
      <c r="BE24" s="231"/>
      <c r="BF24" s="231"/>
      <c r="BG24" s="231"/>
      <c r="BH24" s="232"/>
      <c r="BI24" s="222"/>
      <c r="BJ24" s="231"/>
      <c r="BK24" s="231"/>
      <c r="BL24" s="231"/>
      <c r="BM24" s="231"/>
      <c r="BN24" s="231"/>
      <c r="BO24" s="231"/>
      <c r="BP24" s="231"/>
      <c r="BQ24" s="231"/>
      <c r="BR24" s="232"/>
      <c r="BS24" s="234"/>
    </row>
    <row r="25" spans="1:71" s="235" customFormat="1" ht="9" customHeight="1" x14ac:dyDescent="0.25">
      <c r="A25" s="229"/>
      <c r="B25" s="230"/>
      <c r="C25" s="231"/>
      <c r="D25" s="231"/>
      <c r="E25" s="231"/>
      <c r="F25" s="231"/>
      <c r="G25" s="231"/>
      <c r="H25" s="231"/>
      <c r="I25" s="231"/>
      <c r="J25" s="232"/>
      <c r="K25" s="231"/>
      <c r="L25" s="230"/>
      <c r="M25" s="231"/>
      <c r="N25" s="231"/>
      <c r="O25" s="231"/>
      <c r="P25" s="231"/>
      <c r="Q25" s="231"/>
      <c r="R25" s="231"/>
      <c r="S25" s="231"/>
      <c r="T25" s="232"/>
      <c r="U25" s="233"/>
      <c r="V25" s="231"/>
      <c r="W25" s="231"/>
      <c r="X25" s="231"/>
      <c r="Y25" s="231"/>
      <c r="Z25" s="231"/>
      <c r="AA25" s="231"/>
      <c r="AB25" s="231"/>
      <c r="AC25" s="231"/>
      <c r="AD25" s="232"/>
      <c r="AE25" s="231"/>
      <c r="AF25" s="230"/>
      <c r="AG25" s="231"/>
      <c r="AH25" s="231"/>
      <c r="AI25" s="231"/>
      <c r="AJ25" s="231"/>
      <c r="AK25" s="231"/>
      <c r="AL25" s="231"/>
      <c r="AM25" s="231"/>
      <c r="AN25" s="232"/>
      <c r="AO25" s="233"/>
      <c r="AP25" s="231"/>
      <c r="AQ25" s="231"/>
      <c r="AR25" s="231"/>
      <c r="AS25" s="231"/>
      <c r="AT25" s="231"/>
      <c r="AU25" s="231"/>
      <c r="AV25" s="231"/>
      <c r="AW25" s="231"/>
      <c r="AX25" s="232"/>
      <c r="AY25" s="231"/>
      <c r="AZ25" s="230"/>
      <c r="BA25" s="231"/>
      <c r="BB25" s="231"/>
      <c r="BC25" s="231"/>
      <c r="BD25" s="231"/>
      <c r="BE25" s="231"/>
      <c r="BF25" s="231"/>
      <c r="BG25" s="231"/>
      <c r="BH25" s="232"/>
      <c r="BI25" s="222"/>
      <c r="BJ25" s="231"/>
      <c r="BK25" s="231"/>
      <c r="BL25" s="231"/>
      <c r="BM25" s="231"/>
      <c r="BN25" s="231"/>
      <c r="BO25" s="231"/>
      <c r="BP25" s="231"/>
      <c r="BQ25" s="231"/>
      <c r="BR25" s="232"/>
      <c r="BS25" s="234"/>
    </row>
    <row r="26" spans="1:71" s="235" customFormat="1" ht="9" customHeight="1" x14ac:dyDescent="0.25">
      <c r="A26" s="229"/>
      <c r="B26" s="230"/>
      <c r="C26" s="231"/>
      <c r="D26" s="231"/>
      <c r="E26" s="231"/>
      <c r="F26" s="231"/>
      <c r="G26" s="231"/>
      <c r="H26" s="231"/>
      <c r="I26" s="231"/>
      <c r="J26" s="232"/>
      <c r="K26" s="231"/>
      <c r="L26" s="230"/>
      <c r="M26" s="231"/>
      <c r="N26" s="231"/>
      <c r="O26" s="231"/>
      <c r="P26" s="231"/>
      <c r="Q26" s="231"/>
      <c r="R26" s="231"/>
      <c r="S26" s="231"/>
      <c r="T26" s="232"/>
      <c r="U26" s="233"/>
      <c r="V26" s="231"/>
      <c r="W26" s="231"/>
      <c r="X26" s="231"/>
      <c r="Y26" s="231"/>
      <c r="Z26" s="231"/>
      <c r="AA26" s="231"/>
      <c r="AB26" s="231"/>
      <c r="AC26" s="231"/>
      <c r="AD26" s="232"/>
      <c r="AE26" s="231"/>
      <c r="AF26" s="230"/>
      <c r="AG26" s="231"/>
      <c r="AH26" s="231"/>
      <c r="AI26" s="231"/>
      <c r="AJ26" s="231"/>
      <c r="AK26" s="231"/>
      <c r="AL26" s="231"/>
      <c r="AM26" s="231"/>
      <c r="AN26" s="232"/>
      <c r="AO26" s="233"/>
      <c r="AP26" s="231"/>
      <c r="AQ26" s="231"/>
      <c r="AR26" s="231"/>
      <c r="AS26" s="231"/>
      <c r="AT26" s="231"/>
      <c r="AU26" s="231"/>
      <c r="AV26" s="231"/>
      <c r="AW26" s="231"/>
      <c r="AX26" s="232"/>
      <c r="AY26" s="231"/>
      <c r="AZ26" s="230"/>
      <c r="BA26" s="231"/>
      <c r="BB26" s="231"/>
      <c r="BC26" s="231"/>
      <c r="BD26" s="231"/>
      <c r="BE26" s="231"/>
      <c r="BF26" s="231"/>
      <c r="BG26" s="231"/>
      <c r="BH26" s="232"/>
      <c r="BI26" s="222"/>
      <c r="BJ26" s="231"/>
      <c r="BK26" s="231"/>
      <c r="BL26" s="231"/>
      <c r="BM26" s="231"/>
      <c r="BN26" s="231"/>
      <c r="BO26" s="231"/>
      <c r="BP26" s="231"/>
      <c r="BQ26" s="231"/>
      <c r="BR26" s="232"/>
      <c r="BS26" s="234"/>
    </row>
    <row r="27" spans="1:71" s="235" customFormat="1" ht="9" customHeight="1" x14ac:dyDescent="0.25">
      <c r="A27" s="229"/>
      <c r="B27" s="230"/>
      <c r="C27" s="231"/>
      <c r="D27" s="231"/>
      <c r="E27" s="231"/>
      <c r="F27" s="231"/>
      <c r="G27" s="231"/>
      <c r="H27" s="231"/>
      <c r="I27" s="231"/>
      <c r="J27" s="232"/>
      <c r="K27" s="231"/>
      <c r="L27" s="230"/>
      <c r="M27" s="231"/>
      <c r="N27" s="231"/>
      <c r="O27" s="231"/>
      <c r="P27" s="231"/>
      <c r="Q27" s="231"/>
      <c r="R27" s="231"/>
      <c r="S27" s="231"/>
      <c r="T27" s="232"/>
      <c r="U27" s="233"/>
      <c r="V27" s="231"/>
      <c r="W27" s="231"/>
      <c r="X27" s="231"/>
      <c r="Y27" s="231"/>
      <c r="Z27" s="231"/>
      <c r="AA27" s="231"/>
      <c r="AB27" s="231"/>
      <c r="AC27" s="231"/>
      <c r="AD27" s="232"/>
      <c r="AE27" s="231"/>
      <c r="AF27" s="230"/>
      <c r="AG27" s="231"/>
      <c r="AH27" s="231"/>
      <c r="AI27" s="231"/>
      <c r="AJ27" s="231"/>
      <c r="AK27" s="231"/>
      <c r="AL27" s="231"/>
      <c r="AM27" s="231"/>
      <c r="AN27" s="232"/>
      <c r="AO27" s="233"/>
      <c r="AP27" s="231"/>
      <c r="AQ27" s="231"/>
      <c r="AR27" s="231"/>
      <c r="AS27" s="231"/>
      <c r="AT27" s="231"/>
      <c r="AU27" s="231"/>
      <c r="AV27" s="231"/>
      <c r="AW27" s="231"/>
      <c r="AX27" s="232"/>
      <c r="AY27" s="231"/>
      <c r="AZ27" s="230"/>
      <c r="BA27" s="231"/>
      <c r="BB27" s="231"/>
      <c r="BC27" s="231"/>
      <c r="BD27" s="231"/>
      <c r="BE27" s="231"/>
      <c r="BF27" s="231"/>
      <c r="BG27" s="231"/>
      <c r="BH27" s="232"/>
      <c r="BI27" s="222"/>
      <c r="BJ27" s="231"/>
      <c r="BK27" s="231"/>
      <c r="BL27" s="231"/>
      <c r="BM27" s="231"/>
      <c r="BN27" s="231"/>
      <c r="BO27" s="231"/>
      <c r="BP27" s="231"/>
      <c r="BQ27" s="231"/>
      <c r="BR27" s="232"/>
      <c r="BS27" s="234"/>
    </row>
    <row r="28" spans="1:71" s="235" customFormat="1" ht="9" customHeight="1" x14ac:dyDescent="0.25">
      <c r="A28" s="229"/>
      <c r="B28" s="230"/>
      <c r="C28" s="231"/>
      <c r="D28" s="231"/>
      <c r="E28" s="231"/>
      <c r="F28" s="231"/>
      <c r="G28" s="231"/>
      <c r="H28" s="231"/>
      <c r="I28" s="231"/>
      <c r="J28" s="232"/>
      <c r="K28" s="231"/>
      <c r="L28" s="230"/>
      <c r="M28" s="231"/>
      <c r="N28" s="231"/>
      <c r="O28" s="231"/>
      <c r="P28" s="231"/>
      <c r="Q28" s="231"/>
      <c r="R28" s="231"/>
      <c r="S28" s="231"/>
      <c r="T28" s="232"/>
      <c r="U28" s="233"/>
      <c r="V28" s="231"/>
      <c r="W28" s="231"/>
      <c r="X28" s="231"/>
      <c r="Y28" s="231"/>
      <c r="Z28" s="231"/>
      <c r="AA28" s="231"/>
      <c r="AB28" s="231"/>
      <c r="AC28" s="231"/>
      <c r="AD28" s="232"/>
      <c r="AE28" s="231"/>
      <c r="AF28" s="230"/>
      <c r="AG28" s="231"/>
      <c r="AH28" s="231"/>
      <c r="AI28" s="231"/>
      <c r="AJ28" s="231"/>
      <c r="AK28" s="231"/>
      <c r="AL28" s="231"/>
      <c r="AM28" s="231"/>
      <c r="AN28" s="232"/>
      <c r="AO28" s="233"/>
      <c r="AP28" s="231"/>
      <c r="AQ28" s="231"/>
      <c r="AR28" s="231"/>
      <c r="AS28" s="231"/>
      <c r="AT28" s="231"/>
      <c r="AU28" s="231"/>
      <c r="AV28" s="231"/>
      <c r="AW28" s="231"/>
      <c r="AX28" s="232"/>
      <c r="AY28" s="231"/>
      <c r="AZ28" s="230"/>
      <c r="BA28" s="231"/>
      <c r="BB28" s="231"/>
      <c r="BC28" s="231"/>
      <c r="BD28" s="231"/>
      <c r="BE28" s="231"/>
      <c r="BF28" s="231"/>
      <c r="BG28" s="231"/>
      <c r="BH28" s="232"/>
      <c r="BI28" s="222"/>
      <c r="BJ28" s="231"/>
      <c r="BK28" s="231"/>
      <c r="BL28" s="231"/>
      <c r="BM28" s="231"/>
      <c r="BN28" s="231"/>
      <c r="BO28" s="231"/>
      <c r="BP28" s="231"/>
      <c r="BQ28" s="231"/>
      <c r="BR28" s="232"/>
      <c r="BS28" s="234"/>
    </row>
    <row r="29" spans="1:71" s="235" customFormat="1" ht="9" customHeight="1" x14ac:dyDescent="0.25">
      <c r="A29" s="229"/>
      <c r="B29" s="230"/>
      <c r="C29" s="231"/>
      <c r="D29" s="231"/>
      <c r="E29" s="231"/>
      <c r="F29" s="231"/>
      <c r="G29" s="562"/>
      <c r="H29" s="562"/>
      <c r="I29" s="562"/>
      <c r="J29" s="563"/>
      <c r="K29" s="231"/>
      <c r="L29" s="230"/>
      <c r="M29" s="231"/>
      <c r="N29" s="231"/>
      <c r="O29" s="231"/>
      <c r="P29" s="231"/>
      <c r="Q29" s="224"/>
      <c r="R29" s="224"/>
      <c r="S29" s="224"/>
      <c r="T29" s="225"/>
      <c r="U29" s="233"/>
      <c r="V29" s="231"/>
      <c r="W29" s="231"/>
      <c r="X29" s="231"/>
      <c r="Y29" s="231"/>
      <c r="Z29" s="231"/>
      <c r="AA29" s="231"/>
      <c r="AB29" s="231"/>
      <c r="AC29" s="231"/>
      <c r="AD29" s="232"/>
      <c r="AE29" s="231"/>
      <c r="AF29" s="230"/>
      <c r="AG29" s="231"/>
      <c r="AH29" s="231"/>
      <c r="AI29" s="231"/>
      <c r="AJ29" s="231"/>
      <c r="AK29" s="562"/>
      <c r="AL29" s="562"/>
      <c r="AM29" s="562"/>
      <c r="AN29" s="563"/>
      <c r="AO29" s="233"/>
      <c r="AP29" s="231"/>
      <c r="AQ29" s="231"/>
      <c r="AR29" s="231"/>
      <c r="AS29" s="231"/>
      <c r="AT29" s="231"/>
      <c r="AU29" s="231"/>
      <c r="AV29" s="231"/>
      <c r="AW29" s="231"/>
      <c r="AX29" s="232"/>
      <c r="AY29" s="231"/>
      <c r="AZ29" s="230"/>
      <c r="BA29" s="231"/>
      <c r="BB29" s="231"/>
      <c r="BC29" s="231"/>
      <c r="BD29" s="231"/>
      <c r="BE29" s="231"/>
      <c r="BF29" s="231"/>
      <c r="BG29" s="231"/>
      <c r="BH29" s="232"/>
      <c r="BI29" s="222"/>
      <c r="BJ29" s="231"/>
      <c r="BK29" s="231"/>
      <c r="BL29" s="231"/>
      <c r="BM29" s="231"/>
      <c r="BN29" s="231"/>
      <c r="BO29" s="231"/>
      <c r="BP29" s="231"/>
      <c r="BQ29" s="231"/>
      <c r="BR29" s="232"/>
      <c r="BS29" s="234"/>
    </row>
    <row r="30" spans="1:71" s="235" customFormat="1" ht="9" customHeight="1" x14ac:dyDescent="0.25">
      <c r="B30" s="543" t="s">
        <v>501</v>
      </c>
      <c r="C30" s="543"/>
      <c r="D30" s="543"/>
      <c r="E30" s="543"/>
      <c r="F30" s="543"/>
      <c r="G30" s="542">
        <f>CEILING(2401*B3,1)</f>
        <v>4562</v>
      </c>
      <c r="H30" s="542"/>
      <c r="I30" s="542"/>
      <c r="J30" s="542"/>
      <c r="K30" s="199"/>
      <c r="L30" s="543" t="s">
        <v>501</v>
      </c>
      <c r="M30" s="543"/>
      <c r="N30" s="543"/>
      <c r="O30" s="543"/>
      <c r="P30" s="543"/>
      <c r="Q30" s="542">
        <f>CEILING(2631*B3,1)</f>
        <v>4999</v>
      </c>
      <c r="R30" s="542"/>
      <c r="S30" s="542"/>
      <c r="T30" s="542"/>
      <c r="U30" s="199"/>
      <c r="V30" s="543" t="s">
        <v>501</v>
      </c>
      <c r="W30" s="543"/>
      <c r="X30" s="543"/>
      <c r="Y30" s="543"/>
      <c r="Z30" s="543"/>
      <c r="AA30" s="542">
        <f>CEILING(2754*B3,1)</f>
        <v>5233</v>
      </c>
      <c r="AB30" s="542"/>
      <c r="AC30" s="542"/>
      <c r="AD30" s="542"/>
      <c r="AE30" s="199"/>
      <c r="AF30" s="543" t="s">
        <v>501</v>
      </c>
      <c r="AG30" s="543"/>
      <c r="AH30" s="543"/>
      <c r="AI30" s="543"/>
      <c r="AJ30" s="543"/>
      <c r="AK30" s="542">
        <f>CEILING(2860*B3,1)</f>
        <v>5434</v>
      </c>
      <c r="AL30" s="542"/>
      <c r="AM30" s="542"/>
      <c r="AN30" s="542"/>
      <c r="AO30" s="199"/>
      <c r="AP30" s="543" t="s">
        <v>501</v>
      </c>
      <c r="AQ30" s="543"/>
      <c r="AR30" s="543"/>
      <c r="AS30" s="543"/>
      <c r="AT30" s="543"/>
      <c r="AU30" s="542">
        <f>CEILING(2565*B3,1)</f>
        <v>4874</v>
      </c>
      <c r="AV30" s="542"/>
      <c r="AW30" s="542"/>
      <c r="AX30" s="542"/>
      <c r="AY30" s="199"/>
      <c r="AZ30" s="543" t="s">
        <v>501</v>
      </c>
      <c r="BA30" s="543"/>
      <c r="BB30" s="543"/>
      <c r="BC30" s="543"/>
      <c r="BD30" s="543"/>
      <c r="BE30" s="542">
        <f>CEILING(2971*B3,1)</f>
        <v>5645</v>
      </c>
      <c r="BF30" s="542"/>
      <c r="BG30" s="542"/>
      <c r="BH30" s="542"/>
      <c r="BI30" s="200"/>
      <c r="BJ30" s="543" t="s">
        <v>501</v>
      </c>
      <c r="BK30" s="543"/>
      <c r="BL30" s="543"/>
      <c r="BM30" s="543"/>
      <c r="BN30" s="543"/>
      <c r="BO30" s="542">
        <f>CEILING(3297*B3,1)</f>
        <v>6265</v>
      </c>
      <c r="BP30" s="542"/>
      <c r="BQ30" s="542"/>
      <c r="BR30" s="542"/>
      <c r="BS30" s="234"/>
    </row>
    <row r="31" spans="1:71" s="235" customFormat="1" ht="9" customHeight="1" x14ac:dyDescent="0.25">
      <c r="B31" s="543" t="s">
        <v>502</v>
      </c>
      <c r="C31" s="543"/>
      <c r="D31" s="543"/>
      <c r="E31" s="543"/>
      <c r="F31" s="543"/>
      <c r="G31" s="542">
        <f>CEILING(2834*B3,1)</f>
        <v>5385</v>
      </c>
      <c r="H31" s="542"/>
      <c r="I31" s="542"/>
      <c r="J31" s="542"/>
      <c r="K31" s="199"/>
      <c r="L31" s="543" t="s">
        <v>502</v>
      </c>
      <c r="M31" s="543"/>
      <c r="N31" s="543"/>
      <c r="O31" s="543"/>
      <c r="P31" s="543"/>
      <c r="Q31" s="542">
        <f>CEILING(2958*B3,1)</f>
        <v>5621</v>
      </c>
      <c r="R31" s="542"/>
      <c r="S31" s="542"/>
      <c r="T31" s="542"/>
      <c r="U31" s="199"/>
      <c r="V31" s="543" t="s">
        <v>502</v>
      </c>
      <c r="W31" s="543"/>
      <c r="X31" s="543"/>
      <c r="Y31" s="543"/>
      <c r="Z31" s="543"/>
      <c r="AA31" s="542">
        <f>CEILING(3023*B3,1)</f>
        <v>5744</v>
      </c>
      <c r="AB31" s="542"/>
      <c r="AC31" s="542"/>
      <c r="AD31" s="542"/>
      <c r="AE31" s="199"/>
      <c r="AF31" s="543" t="s">
        <v>502</v>
      </c>
      <c r="AG31" s="543"/>
      <c r="AH31" s="543"/>
      <c r="AI31" s="543"/>
      <c r="AJ31" s="543"/>
      <c r="AK31" s="542">
        <f>CEILING(3146*B3,1)</f>
        <v>5978</v>
      </c>
      <c r="AL31" s="542"/>
      <c r="AM31" s="542"/>
      <c r="AN31" s="542"/>
      <c r="AO31" s="199"/>
      <c r="AP31" s="543" t="s">
        <v>502</v>
      </c>
      <c r="AQ31" s="543"/>
      <c r="AR31" s="543"/>
      <c r="AS31" s="543"/>
      <c r="AT31" s="543"/>
      <c r="AU31" s="542">
        <f>CEILING(3064*B3,1)</f>
        <v>5822</v>
      </c>
      <c r="AV31" s="542"/>
      <c r="AW31" s="542"/>
      <c r="AX31" s="542"/>
      <c r="AY31" s="199"/>
      <c r="AZ31" s="543" t="s">
        <v>502</v>
      </c>
      <c r="BA31" s="543"/>
      <c r="BB31" s="543"/>
      <c r="BC31" s="543"/>
      <c r="BD31" s="543"/>
      <c r="BE31" s="542">
        <f>CEILING(3568*B3,1)</f>
        <v>6780</v>
      </c>
      <c r="BF31" s="542"/>
      <c r="BG31" s="542"/>
      <c r="BH31" s="542"/>
      <c r="BI31" s="199"/>
      <c r="BJ31" s="543" t="s">
        <v>502</v>
      </c>
      <c r="BK31" s="543"/>
      <c r="BL31" s="543"/>
      <c r="BM31" s="543"/>
      <c r="BN31" s="543"/>
      <c r="BO31" s="542">
        <f>CEILING(3957*B3,1)</f>
        <v>7519</v>
      </c>
      <c r="BP31" s="542"/>
      <c r="BQ31" s="542"/>
      <c r="BR31" s="542"/>
      <c r="BS31" s="234"/>
    </row>
    <row r="32" spans="1:71" s="211" customFormat="1" ht="1.5" customHeight="1" x14ac:dyDescent="0.25">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36"/>
      <c r="BS32" s="215"/>
    </row>
    <row r="33" spans="2:71" s="235" customFormat="1" ht="9" customHeight="1" x14ac:dyDescent="0.25">
      <c r="B33" s="556" t="s">
        <v>503</v>
      </c>
      <c r="C33" s="557"/>
      <c r="D33" s="558"/>
      <c r="E33" s="554" t="s">
        <v>481</v>
      </c>
      <c r="F33" s="554"/>
      <c r="G33" s="554"/>
      <c r="H33" s="554"/>
      <c r="I33" s="554"/>
      <c r="J33" s="555"/>
      <c r="K33" s="231"/>
      <c r="L33" s="556" t="s">
        <v>504</v>
      </c>
      <c r="M33" s="557"/>
      <c r="N33" s="558"/>
      <c r="O33" s="554" t="s">
        <v>481</v>
      </c>
      <c r="P33" s="554"/>
      <c r="Q33" s="554"/>
      <c r="R33" s="554"/>
      <c r="S33" s="554"/>
      <c r="T33" s="555"/>
      <c r="U33" s="231"/>
      <c r="V33" s="556" t="s">
        <v>505</v>
      </c>
      <c r="W33" s="557"/>
      <c r="X33" s="558"/>
      <c r="Y33" s="554" t="s">
        <v>506</v>
      </c>
      <c r="Z33" s="554"/>
      <c r="AA33" s="554"/>
      <c r="AB33" s="554"/>
      <c r="AC33" s="554"/>
      <c r="AD33" s="555"/>
      <c r="AE33" s="231"/>
      <c r="AF33" s="556" t="s">
        <v>507</v>
      </c>
      <c r="AG33" s="557"/>
      <c r="AH33" s="558"/>
      <c r="AI33" s="554" t="s">
        <v>506</v>
      </c>
      <c r="AJ33" s="554"/>
      <c r="AK33" s="554"/>
      <c r="AL33" s="554"/>
      <c r="AM33" s="554"/>
      <c r="AN33" s="555"/>
      <c r="AO33" s="231"/>
      <c r="AP33" s="556" t="s">
        <v>508</v>
      </c>
      <c r="AQ33" s="557"/>
      <c r="AR33" s="558"/>
      <c r="AS33" s="554" t="s">
        <v>506</v>
      </c>
      <c r="AT33" s="554"/>
      <c r="AU33" s="554"/>
      <c r="AV33" s="554"/>
      <c r="AW33" s="554"/>
      <c r="AX33" s="555"/>
      <c r="AY33" s="232"/>
      <c r="AZ33" s="556" t="s">
        <v>509</v>
      </c>
      <c r="BA33" s="557"/>
      <c r="BB33" s="558"/>
      <c r="BC33" s="554" t="s">
        <v>506</v>
      </c>
      <c r="BD33" s="554"/>
      <c r="BE33" s="554"/>
      <c r="BF33" s="554"/>
      <c r="BG33" s="554"/>
      <c r="BH33" s="555"/>
      <c r="BI33" s="231"/>
      <c r="BJ33" s="556" t="s">
        <v>510</v>
      </c>
      <c r="BK33" s="557"/>
      <c r="BL33" s="558"/>
      <c r="BM33" s="554" t="s">
        <v>506</v>
      </c>
      <c r="BN33" s="554"/>
      <c r="BO33" s="554"/>
      <c r="BP33" s="554"/>
      <c r="BQ33" s="554"/>
      <c r="BR33" s="555"/>
      <c r="BS33" s="234"/>
    </row>
    <row r="34" spans="2:71" s="216" customFormat="1" ht="9" customHeight="1" x14ac:dyDescent="0.25">
      <c r="B34" s="546" t="s">
        <v>500</v>
      </c>
      <c r="C34" s="547"/>
      <c r="D34" s="547"/>
      <c r="E34" s="547"/>
      <c r="F34" s="547"/>
      <c r="G34" s="547"/>
      <c r="H34" s="547"/>
      <c r="I34" s="547"/>
      <c r="J34" s="548"/>
      <c r="K34" s="218"/>
      <c r="L34" s="546" t="s">
        <v>500</v>
      </c>
      <c r="M34" s="547"/>
      <c r="N34" s="547"/>
      <c r="O34" s="547"/>
      <c r="P34" s="547"/>
      <c r="Q34" s="547"/>
      <c r="R34" s="547"/>
      <c r="S34" s="547"/>
      <c r="T34" s="548"/>
      <c r="U34" s="218"/>
      <c r="V34" s="223"/>
      <c r="W34" s="224"/>
      <c r="X34" s="224"/>
      <c r="Y34" s="224"/>
      <c r="Z34" s="224"/>
      <c r="AA34" s="224"/>
      <c r="AB34" s="224"/>
      <c r="AC34" s="224"/>
      <c r="AD34" s="225"/>
      <c r="AE34" s="218"/>
      <c r="AF34" s="223"/>
      <c r="AG34" s="224"/>
      <c r="AH34" s="224"/>
      <c r="AI34" s="224"/>
      <c r="AJ34" s="224"/>
      <c r="AK34" s="224"/>
      <c r="AL34" s="224"/>
      <c r="AM34" s="224"/>
      <c r="AN34" s="225"/>
      <c r="AO34" s="218"/>
      <c r="AP34" s="223"/>
      <c r="AQ34" s="224"/>
      <c r="AR34" s="224"/>
      <c r="AS34" s="224"/>
      <c r="AT34" s="224"/>
      <c r="AU34" s="224"/>
      <c r="AV34" s="224"/>
      <c r="AW34" s="224"/>
      <c r="AX34" s="225"/>
      <c r="AY34" s="219"/>
      <c r="AZ34" s="223"/>
      <c r="BA34" s="224"/>
      <c r="BB34" s="224"/>
      <c r="BC34" s="224"/>
      <c r="BD34" s="224"/>
      <c r="BE34" s="224"/>
      <c r="BF34" s="224"/>
      <c r="BG34" s="224"/>
      <c r="BH34" s="225"/>
      <c r="BI34" s="218"/>
      <c r="BJ34" s="223"/>
      <c r="BK34" s="224"/>
      <c r="BL34" s="224"/>
      <c r="BM34" s="224"/>
      <c r="BN34" s="224"/>
      <c r="BO34" s="224"/>
      <c r="BP34" s="224"/>
      <c r="BQ34" s="224"/>
      <c r="BR34" s="225"/>
      <c r="BS34" s="220"/>
    </row>
    <row r="35" spans="2:71" s="211" customFormat="1" ht="9" customHeight="1" x14ac:dyDescent="0.25">
      <c r="B35" s="213"/>
      <c r="C35" s="212"/>
      <c r="D35" s="212"/>
      <c r="E35" s="212"/>
      <c r="F35" s="212"/>
      <c r="G35" s="212"/>
      <c r="H35" s="212"/>
      <c r="I35" s="212"/>
      <c r="J35" s="214"/>
      <c r="K35" s="212"/>
      <c r="L35" s="213"/>
      <c r="M35" s="212"/>
      <c r="N35" s="212"/>
      <c r="O35" s="212"/>
      <c r="P35" s="212"/>
      <c r="Q35" s="212"/>
      <c r="R35" s="212"/>
      <c r="S35" s="212"/>
      <c r="T35" s="214"/>
      <c r="U35" s="212"/>
      <c r="V35" s="217"/>
      <c r="W35" s="218"/>
      <c r="X35" s="218"/>
      <c r="Y35" s="218"/>
      <c r="Z35" s="218"/>
      <c r="AA35" s="218"/>
      <c r="AB35" s="218"/>
      <c r="AC35" s="218"/>
      <c r="AD35" s="219"/>
      <c r="AE35" s="212"/>
      <c r="AF35" s="217"/>
      <c r="AG35" s="218"/>
      <c r="AH35" s="218"/>
      <c r="AI35" s="218"/>
      <c r="AJ35" s="218"/>
      <c r="AK35" s="218"/>
      <c r="AL35" s="218"/>
      <c r="AM35" s="218"/>
      <c r="AN35" s="219"/>
      <c r="AO35" s="214"/>
      <c r="AP35" s="217"/>
      <c r="AQ35" s="218"/>
      <c r="AR35" s="218"/>
      <c r="AS35" s="218"/>
      <c r="AT35" s="218"/>
      <c r="AU35" s="218"/>
      <c r="AV35" s="218"/>
      <c r="AW35" s="218"/>
      <c r="AX35" s="219"/>
      <c r="AY35" s="214"/>
      <c r="AZ35" s="217"/>
      <c r="BA35" s="218"/>
      <c r="BB35" s="218"/>
      <c r="BC35" s="218"/>
      <c r="BD35" s="218"/>
      <c r="BE35" s="218"/>
      <c r="BF35" s="218"/>
      <c r="BG35" s="218"/>
      <c r="BH35" s="219"/>
      <c r="BI35" s="212"/>
      <c r="BJ35" s="217"/>
      <c r="BK35" s="218"/>
      <c r="BL35" s="218"/>
      <c r="BM35" s="218"/>
      <c r="BN35" s="218"/>
      <c r="BO35" s="218"/>
      <c r="BP35" s="218"/>
      <c r="BQ35" s="218"/>
      <c r="BR35" s="219"/>
      <c r="BS35" s="215"/>
    </row>
    <row r="36" spans="2:71" s="211" customFormat="1" ht="9" customHeight="1" x14ac:dyDescent="0.25">
      <c r="B36" s="213"/>
      <c r="C36" s="212"/>
      <c r="D36" s="212"/>
      <c r="E36" s="212"/>
      <c r="F36" s="212"/>
      <c r="G36" s="212"/>
      <c r="H36" s="212"/>
      <c r="I36" s="212"/>
      <c r="J36" s="214"/>
      <c r="K36" s="212"/>
      <c r="L36" s="213"/>
      <c r="M36" s="212"/>
      <c r="N36" s="212"/>
      <c r="O36" s="212"/>
      <c r="P36" s="212"/>
      <c r="Q36" s="212"/>
      <c r="R36" s="212"/>
      <c r="S36" s="212"/>
      <c r="T36" s="214"/>
      <c r="U36" s="212"/>
      <c r="V36" s="217"/>
      <c r="W36" s="218"/>
      <c r="X36" s="218"/>
      <c r="Y36" s="218"/>
      <c r="Z36" s="218"/>
      <c r="AA36" s="218"/>
      <c r="AB36" s="218"/>
      <c r="AC36" s="218"/>
      <c r="AD36" s="219"/>
      <c r="AE36" s="212"/>
      <c r="AF36" s="217"/>
      <c r="AG36" s="218"/>
      <c r="AH36" s="218"/>
      <c r="AI36" s="218"/>
      <c r="AJ36" s="218"/>
      <c r="AK36" s="218"/>
      <c r="AL36" s="218"/>
      <c r="AM36" s="218"/>
      <c r="AN36" s="219"/>
      <c r="AO36" s="214"/>
      <c r="AP36" s="217"/>
      <c r="AQ36" s="218"/>
      <c r="AR36" s="218"/>
      <c r="AS36" s="218"/>
      <c r="AT36" s="218"/>
      <c r="AU36" s="218"/>
      <c r="AV36" s="218"/>
      <c r="AW36" s="218"/>
      <c r="AX36" s="219"/>
      <c r="AY36" s="214"/>
      <c r="AZ36" s="217"/>
      <c r="BA36" s="218"/>
      <c r="BB36" s="218"/>
      <c r="BC36" s="218"/>
      <c r="BD36" s="218"/>
      <c r="BE36" s="218"/>
      <c r="BF36" s="218"/>
      <c r="BG36" s="218"/>
      <c r="BH36" s="219"/>
      <c r="BI36" s="212"/>
      <c r="BJ36" s="217"/>
      <c r="BK36" s="218"/>
      <c r="BL36" s="218"/>
      <c r="BM36" s="218"/>
      <c r="BN36" s="218"/>
      <c r="BO36" s="218"/>
      <c r="BP36" s="218"/>
      <c r="BQ36" s="218"/>
      <c r="BR36" s="219"/>
      <c r="BS36" s="215"/>
    </row>
    <row r="37" spans="2:71" s="211" customFormat="1" ht="9.75" customHeight="1" x14ac:dyDescent="0.25">
      <c r="B37" s="213"/>
      <c r="C37" s="212"/>
      <c r="D37" s="212"/>
      <c r="E37" s="212"/>
      <c r="F37" s="212"/>
      <c r="G37" s="212"/>
      <c r="H37" s="212"/>
      <c r="I37" s="212"/>
      <c r="J37" s="214"/>
      <c r="K37" s="212"/>
      <c r="L37" s="213"/>
      <c r="M37" s="212"/>
      <c r="N37" s="212"/>
      <c r="O37" s="212"/>
      <c r="P37" s="212"/>
      <c r="Q37" s="212"/>
      <c r="R37" s="212"/>
      <c r="S37" s="212"/>
      <c r="T37" s="214"/>
      <c r="U37" s="212"/>
      <c r="V37" s="213"/>
      <c r="W37" s="212"/>
      <c r="X37" s="212"/>
      <c r="Y37" s="212"/>
      <c r="Z37" s="212"/>
      <c r="AA37" s="212"/>
      <c r="AB37" s="212"/>
      <c r="AC37" s="212"/>
      <c r="AD37" s="214"/>
      <c r="AE37" s="212"/>
      <c r="AF37" s="213"/>
      <c r="AG37" s="212"/>
      <c r="AH37" s="212"/>
      <c r="AI37" s="212"/>
      <c r="AJ37" s="212"/>
      <c r="AK37" s="212"/>
      <c r="AL37" s="212"/>
      <c r="AM37" s="212"/>
      <c r="AN37" s="214"/>
      <c r="AO37" s="214"/>
      <c r="AP37" s="213"/>
      <c r="AQ37" s="212"/>
      <c r="AR37" s="212"/>
      <c r="AS37" s="212"/>
      <c r="AT37" s="212"/>
      <c r="AU37" s="212"/>
      <c r="AV37" s="212"/>
      <c r="AW37" s="212"/>
      <c r="AX37" s="214"/>
      <c r="AY37" s="214"/>
      <c r="AZ37" s="213"/>
      <c r="BA37" s="212"/>
      <c r="BB37" s="212"/>
      <c r="BC37" s="212"/>
      <c r="BD37" s="212"/>
      <c r="BE37" s="212"/>
      <c r="BF37" s="212"/>
      <c r="BG37" s="212"/>
      <c r="BH37" s="214"/>
      <c r="BI37" s="212"/>
      <c r="BJ37" s="213"/>
      <c r="BK37" s="212"/>
      <c r="BL37" s="212"/>
      <c r="BM37" s="212"/>
      <c r="BN37" s="212"/>
      <c r="BO37" s="212"/>
      <c r="BP37" s="212"/>
      <c r="BQ37" s="212"/>
      <c r="BR37" s="214"/>
      <c r="BS37" s="215"/>
    </row>
    <row r="38" spans="2:71" s="235" customFormat="1" ht="9" customHeight="1" x14ac:dyDescent="0.25">
      <c r="B38" s="230"/>
      <c r="C38" s="231"/>
      <c r="D38" s="231"/>
      <c r="E38" s="231"/>
      <c r="F38" s="231"/>
      <c r="G38" s="231"/>
      <c r="H38" s="231"/>
      <c r="I38" s="231"/>
      <c r="J38" s="232"/>
      <c r="K38" s="231"/>
      <c r="L38" s="230"/>
      <c r="M38" s="231"/>
      <c r="N38" s="231"/>
      <c r="O38" s="231"/>
      <c r="P38" s="231"/>
      <c r="Q38" s="231"/>
      <c r="R38" s="231"/>
      <c r="S38" s="231"/>
      <c r="T38" s="232"/>
      <c r="U38" s="222"/>
      <c r="V38" s="230"/>
      <c r="W38" s="231"/>
      <c r="X38" s="231"/>
      <c r="Y38" s="231"/>
      <c r="Z38" s="231"/>
      <c r="AA38" s="231"/>
      <c r="AB38" s="231"/>
      <c r="AC38" s="231"/>
      <c r="AD38" s="232"/>
      <c r="AE38" s="231"/>
      <c r="AF38" s="230"/>
      <c r="AG38" s="231"/>
      <c r="AH38" s="231"/>
      <c r="AI38" s="231"/>
      <c r="AJ38" s="231"/>
      <c r="AK38" s="231"/>
      <c r="AL38" s="231"/>
      <c r="AM38" s="231"/>
      <c r="AN38" s="232"/>
      <c r="AO38" s="232"/>
      <c r="AP38" s="230"/>
      <c r="AQ38" s="231"/>
      <c r="AR38" s="231"/>
      <c r="AS38" s="231"/>
      <c r="AT38" s="231"/>
      <c r="AU38" s="231"/>
      <c r="AV38" s="231"/>
      <c r="AW38" s="231"/>
      <c r="AX38" s="232"/>
      <c r="AY38" s="232"/>
      <c r="AZ38" s="230"/>
      <c r="BA38" s="231"/>
      <c r="BB38" s="231"/>
      <c r="BC38" s="231"/>
      <c r="BD38" s="231"/>
      <c r="BE38" s="231"/>
      <c r="BF38" s="231"/>
      <c r="BG38" s="231"/>
      <c r="BH38" s="232"/>
      <c r="BI38" s="231"/>
      <c r="BJ38" s="230"/>
      <c r="BK38" s="231"/>
      <c r="BL38" s="231"/>
      <c r="BM38" s="231"/>
      <c r="BN38" s="231"/>
      <c r="BO38" s="231"/>
      <c r="BP38" s="231"/>
      <c r="BQ38" s="231"/>
      <c r="BR38" s="232"/>
      <c r="BS38" s="234"/>
    </row>
    <row r="39" spans="2:71" s="235" customFormat="1" ht="9" customHeight="1" x14ac:dyDescent="0.25">
      <c r="B39" s="213"/>
      <c r="C39" s="212"/>
      <c r="D39" s="212"/>
      <c r="E39" s="212"/>
      <c r="F39" s="212"/>
      <c r="G39" s="212"/>
      <c r="H39" s="212"/>
      <c r="I39" s="212"/>
      <c r="J39" s="214"/>
      <c r="K39" s="231"/>
      <c r="L39" s="230"/>
      <c r="M39" s="231"/>
      <c r="N39" s="231"/>
      <c r="O39" s="231"/>
      <c r="P39" s="231"/>
      <c r="Q39" s="231"/>
      <c r="R39" s="231"/>
      <c r="S39" s="231"/>
      <c r="T39" s="232"/>
      <c r="U39" s="222"/>
      <c r="V39" s="230"/>
      <c r="W39" s="231"/>
      <c r="X39" s="231"/>
      <c r="Y39" s="231"/>
      <c r="Z39" s="231"/>
      <c r="AA39" s="231"/>
      <c r="AB39" s="231"/>
      <c r="AC39" s="231"/>
      <c r="AD39" s="232"/>
      <c r="AE39" s="231"/>
      <c r="AF39" s="230"/>
      <c r="AG39" s="231"/>
      <c r="AH39" s="231"/>
      <c r="AI39" s="231"/>
      <c r="AJ39" s="231"/>
      <c r="AK39" s="231"/>
      <c r="AL39" s="231"/>
      <c r="AM39" s="231"/>
      <c r="AN39" s="232"/>
      <c r="AO39" s="232"/>
      <c r="AP39" s="230"/>
      <c r="AQ39" s="231"/>
      <c r="AR39" s="231"/>
      <c r="AS39" s="231"/>
      <c r="AT39" s="231"/>
      <c r="AU39" s="231"/>
      <c r="AV39" s="231"/>
      <c r="AW39" s="231"/>
      <c r="AX39" s="232"/>
      <c r="AY39" s="232"/>
      <c r="AZ39" s="230"/>
      <c r="BA39" s="231"/>
      <c r="BB39" s="231"/>
      <c r="BC39" s="231"/>
      <c r="BD39" s="231"/>
      <c r="BE39" s="231"/>
      <c r="BF39" s="231"/>
      <c r="BG39" s="231"/>
      <c r="BH39" s="232"/>
      <c r="BI39" s="231"/>
      <c r="BJ39" s="230"/>
      <c r="BK39" s="231"/>
      <c r="BL39" s="231"/>
      <c r="BM39" s="231"/>
      <c r="BN39" s="231"/>
      <c r="BO39" s="231"/>
      <c r="BP39" s="231"/>
      <c r="BQ39" s="231"/>
      <c r="BR39" s="232"/>
      <c r="BS39" s="234"/>
    </row>
    <row r="40" spans="2:71" s="235" customFormat="1" ht="9" customHeight="1" x14ac:dyDescent="0.25">
      <c r="B40" s="213"/>
      <c r="C40" s="212"/>
      <c r="D40" s="212"/>
      <c r="E40" s="212"/>
      <c r="F40" s="212"/>
      <c r="G40" s="212"/>
      <c r="H40" s="212"/>
      <c r="I40" s="212"/>
      <c r="J40" s="214"/>
      <c r="K40" s="231"/>
      <c r="L40" s="230"/>
      <c r="M40" s="231"/>
      <c r="N40" s="231"/>
      <c r="O40" s="231"/>
      <c r="P40" s="231"/>
      <c r="Q40" s="231"/>
      <c r="R40" s="231"/>
      <c r="S40" s="231"/>
      <c r="T40" s="232"/>
      <c r="U40" s="212"/>
      <c r="V40" s="230"/>
      <c r="W40" s="231"/>
      <c r="X40" s="231"/>
      <c r="Y40" s="231"/>
      <c r="Z40" s="231"/>
      <c r="AA40" s="231"/>
      <c r="AB40" s="231"/>
      <c r="AC40" s="231"/>
      <c r="AD40" s="232"/>
      <c r="AE40" s="231"/>
      <c r="AF40" s="230"/>
      <c r="AG40" s="231"/>
      <c r="AH40" s="231"/>
      <c r="AI40" s="231"/>
      <c r="AJ40" s="231"/>
      <c r="AK40" s="231"/>
      <c r="AL40" s="231"/>
      <c r="AM40" s="231"/>
      <c r="AN40" s="232"/>
      <c r="AO40" s="232"/>
      <c r="AP40" s="230"/>
      <c r="AQ40" s="231"/>
      <c r="AR40" s="231"/>
      <c r="AS40" s="231"/>
      <c r="AT40" s="231"/>
      <c r="AU40" s="231"/>
      <c r="AV40" s="231"/>
      <c r="AW40" s="231"/>
      <c r="AX40" s="232"/>
      <c r="AY40" s="231"/>
      <c r="AZ40" s="230"/>
      <c r="BA40" s="231"/>
      <c r="BB40" s="231"/>
      <c r="BC40" s="231"/>
      <c r="BD40" s="231"/>
      <c r="BE40" s="231"/>
      <c r="BF40" s="231"/>
      <c r="BG40" s="231"/>
      <c r="BH40" s="232"/>
      <c r="BI40" s="231"/>
      <c r="BJ40" s="230"/>
      <c r="BK40" s="231"/>
      <c r="BL40" s="231"/>
      <c r="BM40" s="231"/>
      <c r="BN40" s="231"/>
      <c r="BO40" s="231"/>
      <c r="BP40" s="231"/>
      <c r="BQ40" s="231"/>
      <c r="BR40" s="232"/>
      <c r="BS40" s="234"/>
    </row>
    <row r="41" spans="2:71" s="235" customFormat="1" ht="9" customHeight="1" x14ac:dyDescent="0.25">
      <c r="B41" s="213"/>
      <c r="C41" s="212"/>
      <c r="D41" s="212"/>
      <c r="E41" s="212"/>
      <c r="F41" s="212"/>
      <c r="G41" s="212"/>
      <c r="H41" s="212"/>
      <c r="I41" s="212"/>
      <c r="J41" s="214"/>
      <c r="K41" s="231"/>
      <c r="L41" s="230"/>
      <c r="M41" s="231"/>
      <c r="N41" s="231"/>
      <c r="O41" s="231"/>
      <c r="P41" s="231"/>
      <c r="Q41" s="231"/>
      <c r="R41" s="231"/>
      <c r="S41" s="231"/>
      <c r="T41" s="232"/>
      <c r="U41" s="212"/>
      <c r="V41" s="230"/>
      <c r="W41" s="231"/>
      <c r="X41" s="231"/>
      <c r="Y41" s="231"/>
      <c r="Z41" s="231"/>
      <c r="AA41" s="231"/>
      <c r="AB41" s="231"/>
      <c r="AC41" s="231"/>
      <c r="AD41" s="232"/>
      <c r="AE41" s="231"/>
      <c r="AF41" s="230"/>
      <c r="AG41" s="231"/>
      <c r="AH41" s="231"/>
      <c r="AI41" s="231"/>
      <c r="AJ41" s="231"/>
      <c r="AK41" s="231"/>
      <c r="AL41" s="231"/>
      <c r="AM41" s="231"/>
      <c r="AN41" s="232"/>
      <c r="AO41" s="232"/>
      <c r="AP41" s="230"/>
      <c r="AQ41" s="231"/>
      <c r="AR41" s="231"/>
      <c r="AS41" s="231"/>
      <c r="AT41" s="231"/>
      <c r="AU41" s="231"/>
      <c r="AV41" s="231"/>
      <c r="AW41" s="231"/>
      <c r="AX41" s="232"/>
      <c r="AY41" s="231"/>
      <c r="AZ41" s="230"/>
      <c r="BA41" s="231"/>
      <c r="BB41" s="231"/>
      <c r="BC41" s="231"/>
      <c r="BD41" s="231"/>
      <c r="BE41" s="231"/>
      <c r="BF41" s="231"/>
      <c r="BG41" s="231"/>
      <c r="BH41" s="232"/>
      <c r="BI41" s="231"/>
      <c r="BJ41" s="230"/>
      <c r="BK41" s="231"/>
      <c r="BL41" s="231"/>
      <c r="BM41" s="231"/>
      <c r="BN41" s="231"/>
      <c r="BO41" s="231"/>
      <c r="BP41" s="231"/>
      <c r="BQ41" s="231"/>
      <c r="BR41" s="232"/>
      <c r="BS41" s="234"/>
    </row>
    <row r="42" spans="2:71" s="235" customFormat="1" ht="9" customHeight="1" x14ac:dyDescent="0.25">
      <c r="B42" s="213"/>
      <c r="C42" s="212"/>
      <c r="D42" s="212"/>
      <c r="E42" s="212"/>
      <c r="F42" s="212"/>
      <c r="G42" s="212"/>
      <c r="H42" s="212"/>
      <c r="I42" s="212"/>
      <c r="J42" s="214"/>
      <c r="K42" s="231"/>
      <c r="L42" s="230"/>
      <c r="M42" s="231"/>
      <c r="N42" s="231"/>
      <c r="O42" s="231"/>
      <c r="P42" s="231"/>
      <c r="Q42" s="231"/>
      <c r="R42" s="231"/>
      <c r="S42" s="231"/>
      <c r="T42" s="232"/>
      <c r="U42" s="212"/>
      <c r="V42" s="230"/>
      <c r="W42" s="231"/>
      <c r="X42" s="231"/>
      <c r="Y42" s="231"/>
      <c r="Z42" s="231"/>
      <c r="AA42" s="231"/>
      <c r="AB42" s="231"/>
      <c r="AC42" s="231"/>
      <c r="AD42" s="232"/>
      <c r="AE42" s="231"/>
      <c r="AF42" s="230"/>
      <c r="AG42" s="231"/>
      <c r="AH42" s="231"/>
      <c r="AI42" s="231"/>
      <c r="AJ42" s="231"/>
      <c r="AK42" s="231"/>
      <c r="AL42" s="231"/>
      <c r="AM42" s="231"/>
      <c r="AN42" s="232"/>
      <c r="AO42" s="232"/>
      <c r="AP42" s="230"/>
      <c r="AQ42" s="231"/>
      <c r="AR42" s="231"/>
      <c r="AS42" s="231"/>
      <c r="AT42" s="231"/>
      <c r="AU42" s="231"/>
      <c r="AV42" s="231"/>
      <c r="AW42" s="231"/>
      <c r="AX42" s="232"/>
      <c r="AY42" s="231"/>
      <c r="AZ42" s="230"/>
      <c r="BA42" s="231"/>
      <c r="BB42" s="231"/>
      <c r="BC42" s="231"/>
      <c r="BD42" s="231"/>
      <c r="BE42" s="231"/>
      <c r="BF42" s="231"/>
      <c r="BG42" s="231"/>
      <c r="BH42" s="232"/>
      <c r="BI42" s="231"/>
      <c r="BJ42" s="230"/>
      <c r="BK42" s="231"/>
      <c r="BL42" s="231"/>
      <c r="BM42" s="231"/>
      <c r="BN42" s="231"/>
      <c r="BO42" s="231"/>
      <c r="BP42" s="231"/>
      <c r="BQ42" s="231"/>
      <c r="BR42" s="232"/>
      <c r="BS42" s="234"/>
    </row>
    <row r="43" spans="2:71" s="235" customFormat="1" ht="9" customHeight="1" x14ac:dyDescent="0.25">
      <c r="B43" s="230"/>
      <c r="C43" s="231"/>
      <c r="D43" s="231"/>
      <c r="E43" s="231"/>
      <c r="F43" s="231"/>
      <c r="G43" s="231"/>
      <c r="H43" s="231"/>
      <c r="I43" s="231"/>
      <c r="J43" s="232"/>
      <c r="K43" s="231"/>
      <c r="L43" s="230"/>
      <c r="M43" s="231"/>
      <c r="N43" s="231"/>
      <c r="O43" s="231"/>
      <c r="P43" s="231"/>
      <c r="Q43" s="231"/>
      <c r="R43" s="231"/>
      <c r="S43" s="231"/>
      <c r="T43" s="232"/>
      <c r="U43" s="212"/>
      <c r="V43" s="213"/>
      <c r="W43" s="212"/>
      <c r="X43" s="212"/>
      <c r="Y43" s="212"/>
      <c r="Z43" s="212"/>
      <c r="AA43" s="212"/>
      <c r="AB43" s="212"/>
      <c r="AC43" s="212"/>
      <c r="AD43" s="214"/>
      <c r="AE43" s="231"/>
      <c r="AF43" s="213"/>
      <c r="AG43" s="212"/>
      <c r="AH43" s="212"/>
      <c r="AI43" s="212"/>
      <c r="AJ43" s="212"/>
      <c r="AK43" s="212"/>
      <c r="AL43" s="212"/>
      <c r="AM43" s="212"/>
      <c r="AN43" s="214"/>
      <c r="AO43" s="232"/>
      <c r="AP43" s="213"/>
      <c r="AQ43" s="212"/>
      <c r="AR43" s="212"/>
      <c r="AS43" s="212"/>
      <c r="AT43" s="212"/>
      <c r="AU43" s="212"/>
      <c r="AV43" s="212"/>
      <c r="AW43" s="212"/>
      <c r="AX43" s="214"/>
      <c r="AY43" s="231"/>
      <c r="AZ43" s="213"/>
      <c r="BA43" s="212"/>
      <c r="BB43" s="212"/>
      <c r="BC43" s="212"/>
      <c r="BD43" s="212"/>
      <c r="BE43" s="212"/>
      <c r="BF43" s="212"/>
      <c r="BG43" s="212"/>
      <c r="BH43" s="214"/>
      <c r="BI43" s="231"/>
      <c r="BJ43" s="213"/>
      <c r="BK43" s="212"/>
      <c r="BL43" s="212"/>
      <c r="BM43" s="212"/>
      <c r="BN43" s="212"/>
      <c r="BO43" s="212"/>
      <c r="BP43" s="212"/>
      <c r="BQ43" s="212"/>
      <c r="BR43" s="214"/>
      <c r="BS43" s="234"/>
    </row>
    <row r="44" spans="2:71" s="235" customFormat="1" ht="9" customHeight="1" x14ac:dyDescent="0.25">
      <c r="B44" s="543" t="s">
        <v>501</v>
      </c>
      <c r="C44" s="543"/>
      <c r="D44" s="543"/>
      <c r="E44" s="543"/>
      <c r="F44" s="543"/>
      <c r="G44" s="542">
        <f>CEILING(2903*B3,1)</f>
        <v>5516</v>
      </c>
      <c r="H44" s="542"/>
      <c r="I44" s="542"/>
      <c r="J44" s="542"/>
      <c r="K44" s="199"/>
      <c r="L44" s="543" t="s">
        <v>501</v>
      </c>
      <c r="M44" s="543"/>
      <c r="N44" s="543"/>
      <c r="O44" s="543"/>
      <c r="P44" s="543"/>
      <c r="Q44" s="542">
        <f>CEILING(3212*B3,1)</f>
        <v>6103</v>
      </c>
      <c r="R44" s="542"/>
      <c r="S44" s="542"/>
      <c r="T44" s="542"/>
      <c r="U44" s="212"/>
      <c r="V44" s="223"/>
      <c r="W44" s="224"/>
      <c r="X44" s="224"/>
      <c r="Y44" s="224"/>
      <c r="Z44" s="224"/>
      <c r="AA44" s="224"/>
      <c r="AB44" s="224"/>
      <c r="AC44" s="224"/>
      <c r="AD44" s="225"/>
      <c r="AE44" s="231"/>
      <c r="AF44" s="223"/>
      <c r="AG44" s="224"/>
      <c r="AH44" s="224"/>
      <c r="AI44" s="224"/>
      <c r="AJ44" s="224"/>
      <c r="AK44" s="224"/>
      <c r="AL44" s="224"/>
      <c r="AM44" s="224"/>
      <c r="AN44" s="225"/>
      <c r="AO44" s="231"/>
      <c r="AP44" s="223"/>
      <c r="AQ44" s="224"/>
      <c r="AR44" s="224"/>
      <c r="AS44" s="224"/>
      <c r="AT44" s="224"/>
      <c r="AU44" s="224"/>
      <c r="AV44" s="224"/>
      <c r="AW44" s="224"/>
      <c r="AX44" s="225"/>
      <c r="AY44" s="231"/>
      <c r="AZ44" s="223"/>
      <c r="BA44" s="224"/>
      <c r="BB44" s="224"/>
      <c r="BC44" s="224"/>
      <c r="BD44" s="224"/>
      <c r="BE44" s="224"/>
      <c r="BF44" s="224"/>
      <c r="BG44" s="224"/>
      <c r="BH44" s="225"/>
      <c r="BI44" s="231"/>
      <c r="BJ44" s="223"/>
      <c r="BK44" s="224"/>
      <c r="BL44" s="224"/>
      <c r="BM44" s="224"/>
      <c r="BN44" s="224"/>
      <c r="BO44" s="224"/>
      <c r="BP44" s="224"/>
      <c r="BQ44" s="224"/>
      <c r="BR44" s="225"/>
      <c r="BS44" s="234"/>
    </row>
    <row r="45" spans="2:71" s="235" customFormat="1" ht="9" customHeight="1" x14ac:dyDescent="0.25">
      <c r="B45" s="543" t="s">
        <v>502</v>
      </c>
      <c r="C45" s="543"/>
      <c r="D45" s="543"/>
      <c r="E45" s="543"/>
      <c r="F45" s="543"/>
      <c r="G45" s="542">
        <f>CEILING(3498*B3,1)</f>
        <v>6647</v>
      </c>
      <c r="H45" s="542"/>
      <c r="I45" s="542"/>
      <c r="J45" s="542"/>
      <c r="K45" s="199"/>
      <c r="L45" s="543" t="s">
        <v>502</v>
      </c>
      <c r="M45" s="543"/>
      <c r="N45" s="543"/>
      <c r="O45" s="543"/>
      <c r="P45" s="543"/>
      <c r="Q45" s="542">
        <f>CEILING(3877*B3,1)</f>
        <v>7367</v>
      </c>
      <c r="R45" s="542"/>
      <c r="S45" s="542"/>
      <c r="T45" s="542"/>
      <c r="U45" s="201"/>
      <c r="V45" s="543" t="s">
        <v>511</v>
      </c>
      <c r="W45" s="543"/>
      <c r="X45" s="543"/>
      <c r="Y45" s="543"/>
      <c r="Z45" s="543"/>
      <c r="AA45" s="542">
        <f>CEILING(2076*B3,1)</f>
        <v>3945</v>
      </c>
      <c r="AB45" s="542"/>
      <c r="AC45" s="542"/>
      <c r="AD45" s="542"/>
      <c r="AE45" s="199"/>
      <c r="AF45" s="543" t="s">
        <v>511</v>
      </c>
      <c r="AG45" s="543"/>
      <c r="AH45" s="543"/>
      <c r="AI45" s="543"/>
      <c r="AJ45" s="543"/>
      <c r="AK45" s="542">
        <f>CEILING(2441*B3,1)</f>
        <v>4638</v>
      </c>
      <c r="AL45" s="542"/>
      <c r="AM45" s="542"/>
      <c r="AN45" s="542"/>
      <c r="AO45" s="199"/>
      <c r="AP45" s="543" t="s">
        <v>511</v>
      </c>
      <c r="AQ45" s="543"/>
      <c r="AR45" s="543"/>
      <c r="AS45" s="543"/>
      <c r="AT45" s="543"/>
      <c r="AU45" s="542">
        <f>CEILING(2781*B3,1)</f>
        <v>5284</v>
      </c>
      <c r="AV45" s="542"/>
      <c r="AW45" s="542"/>
      <c r="AX45" s="542"/>
      <c r="AY45" s="199"/>
      <c r="AZ45" s="543" t="s">
        <v>511</v>
      </c>
      <c r="BA45" s="543"/>
      <c r="BB45" s="543"/>
      <c r="BC45" s="543"/>
      <c r="BD45" s="543"/>
      <c r="BE45" s="542">
        <f>CEILING(2657*B3,1)</f>
        <v>5049</v>
      </c>
      <c r="BF45" s="542"/>
      <c r="BG45" s="542"/>
      <c r="BH45" s="542"/>
      <c r="BI45" s="199"/>
      <c r="BJ45" s="543" t="s">
        <v>511</v>
      </c>
      <c r="BK45" s="543"/>
      <c r="BL45" s="543"/>
      <c r="BM45" s="543"/>
      <c r="BN45" s="543"/>
      <c r="BO45" s="542">
        <f>CEILING(2985*B3,1)</f>
        <v>5672</v>
      </c>
      <c r="BP45" s="542"/>
      <c r="BQ45" s="542"/>
      <c r="BR45" s="542"/>
      <c r="BS45" s="234"/>
    </row>
    <row r="46" spans="2:71" s="211" customFormat="1" ht="1.5" customHeight="1" x14ac:dyDescent="0.25">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27"/>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5"/>
    </row>
    <row r="47" spans="2:71" s="211" customFormat="1" ht="9" customHeight="1" x14ac:dyDescent="0.25">
      <c r="B47" s="556" t="s">
        <v>512</v>
      </c>
      <c r="C47" s="557"/>
      <c r="D47" s="558"/>
      <c r="E47" s="554" t="s">
        <v>506</v>
      </c>
      <c r="F47" s="554"/>
      <c r="G47" s="554"/>
      <c r="H47" s="554"/>
      <c r="I47" s="554"/>
      <c r="J47" s="555"/>
      <c r="K47" s="212"/>
      <c r="L47" s="556" t="s">
        <v>513</v>
      </c>
      <c r="M47" s="557"/>
      <c r="N47" s="558"/>
      <c r="O47" s="554" t="s">
        <v>506</v>
      </c>
      <c r="P47" s="554"/>
      <c r="Q47" s="554"/>
      <c r="R47" s="554"/>
      <c r="S47" s="554"/>
      <c r="T47" s="555"/>
      <c r="U47" s="212"/>
      <c r="V47" s="556" t="s">
        <v>514</v>
      </c>
      <c r="W47" s="557"/>
      <c r="X47" s="558"/>
      <c r="Y47" s="554" t="s">
        <v>506</v>
      </c>
      <c r="Z47" s="554"/>
      <c r="AA47" s="554"/>
      <c r="AB47" s="554"/>
      <c r="AC47" s="554"/>
      <c r="AD47" s="555"/>
      <c r="AE47" s="212"/>
      <c r="AF47" s="556" t="s">
        <v>515</v>
      </c>
      <c r="AG47" s="557"/>
      <c r="AH47" s="558"/>
      <c r="AI47" s="554" t="s">
        <v>506</v>
      </c>
      <c r="AJ47" s="554"/>
      <c r="AK47" s="554"/>
      <c r="AL47" s="554"/>
      <c r="AM47" s="554"/>
      <c r="AN47" s="555"/>
      <c r="AO47" s="212"/>
      <c r="AP47" s="556" t="s">
        <v>516</v>
      </c>
      <c r="AQ47" s="557"/>
      <c r="AR47" s="558"/>
      <c r="AS47" s="554" t="s">
        <v>506</v>
      </c>
      <c r="AT47" s="554"/>
      <c r="AU47" s="554"/>
      <c r="AV47" s="554"/>
      <c r="AW47" s="554"/>
      <c r="AX47" s="555"/>
      <c r="AY47" s="212"/>
      <c r="AZ47" s="556" t="s">
        <v>517</v>
      </c>
      <c r="BA47" s="557"/>
      <c r="BB47" s="558"/>
      <c r="BC47" s="554" t="s">
        <v>481</v>
      </c>
      <c r="BD47" s="554"/>
      <c r="BE47" s="554"/>
      <c r="BF47" s="554"/>
      <c r="BG47" s="554"/>
      <c r="BH47" s="555"/>
      <c r="BI47" s="212"/>
      <c r="BJ47" s="556" t="s">
        <v>518</v>
      </c>
      <c r="BK47" s="557"/>
      <c r="BL47" s="558"/>
      <c r="BM47" s="554" t="s">
        <v>481</v>
      </c>
      <c r="BN47" s="554"/>
      <c r="BO47" s="554"/>
      <c r="BP47" s="554"/>
      <c r="BQ47" s="554"/>
      <c r="BR47" s="555"/>
      <c r="BS47" s="215"/>
    </row>
    <row r="48" spans="2:71" s="216" customFormat="1" ht="9" customHeight="1" x14ac:dyDescent="0.25">
      <c r="B48" s="223"/>
      <c r="C48" s="224"/>
      <c r="D48" s="224"/>
      <c r="E48" s="224"/>
      <c r="F48" s="224"/>
      <c r="G48" s="224"/>
      <c r="H48" s="224"/>
      <c r="I48" s="224"/>
      <c r="J48" s="225"/>
      <c r="K48" s="218"/>
      <c r="L48" s="223"/>
      <c r="M48" s="224"/>
      <c r="N48" s="224"/>
      <c r="O48" s="224"/>
      <c r="P48" s="224"/>
      <c r="Q48" s="224"/>
      <c r="R48" s="224"/>
      <c r="S48" s="224"/>
      <c r="T48" s="225"/>
      <c r="U48" s="218"/>
      <c r="V48" s="223"/>
      <c r="W48" s="224"/>
      <c r="X48" s="224"/>
      <c r="Y48" s="224"/>
      <c r="Z48" s="224"/>
      <c r="AA48" s="224"/>
      <c r="AB48" s="224"/>
      <c r="AC48" s="224"/>
      <c r="AD48" s="225"/>
      <c r="AE48" s="218"/>
      <c r="AF48" s="223"/>
      <c r="AG48" s="224"/>
      <c r="AH48" s="224"/>
      <c r="AI48" s="224"/>
      <c r="AJ48" s="224"/>
      <c r="AK48" s="224"/>
      <c r="AL48" s="224"/>
      <c r="AM48" s="224"/>
      <c r="AN48" s="225"/>
      <c r="AO48" s="218"/>
      <c r="AP48" s="223"/>
      <c r="AQ48" s="224"/>
      <c r="AR48" s="224"/>
      <c r="AS48" s="224"/>
      <c r="AT48" s="224"/>
      <c r="AU48" s="224"/>
      <c r="AV48" s="224"/>
      <c r="AW48" s="224"/>
      <c r="AX48" s="225"/>
      <c r="AY48" s="218"/>
      <c r="AZ48" s="546" t="s">
        <v>519</v>
      </c>
      <c r="BA48" s="547"/>
      <c r="BB48" s="547"/>
      <c r="BC48" s="547"/>
      <c r="BD48" s="547"/>
      <c r="BE48" s="547"/>
      <c r="BF48" s="547"/>
      <c r="BG48" s="547"/>
      <c r="BH48" s="548"/>
      <c r="BI48" s="218"/>
      <c r="BJ48" s="546" t="s">
        <v>519</v>
      </c>
      <c r="BK48" s="547"/>
      <c r="BL48" s="547"/>
      <c r="BM48" s="547"/>
      <c r="BN48" s="547"/>
      <c r="BO48" s="547"/>
      <c r="BP48" s="547"/>
      <c r="BQ48" s="547"/>
      <c r="BR48" s="548"/>
      <c r="BS48" s="220"/>
    </row>
    <row r="49" spans="2:71" s="216" customFormat="1" ht="9" customHeight="1" x14ac:dyDescent="0.25">
      <c r="B49" s="217"/>
      <c r="C49" s="218"/>
      <c r="D49" s="218"/>
      <c r="E49" s="218"/>
      <c r="F49" s="218"/>
      <c r="G49" s="218"/>
      <c r="H49" s="218"/>
      <c r="I49" s="218"/>
      <c r="J49" s="219"/>
      <c r="K49" s="218"/>
      <c r="L49" s="217"/>
      <c r="M49" s="218"/>
      <c r="N49" s="218"/>
      <c r="O49" s="218"/>
      <c r="P49" s="218"/>
      <c r="Q49" s="218"/>
      <c r="R49" s="218"/>
      <c r="S49" s="218"/>
      <c r="T49" s="219"/>
      <c r="U49" s="218"/>
      <c r="V49" s="217"/>
      <c r="W49" s="218"/>
      <c r="X49" s="218"/>
      <c r="Y49" s="218"/>
      <c r="Z49" s="218"/>
      <c r="AA49" s="218"/>
      <c r="AB49" s="218"/>
      <c r="AC49" s="218"/>
      <c r="AD49" s="219"/>
      <c r="AE49" s="218"/>
      <c r="AF49" s="217"/>
      <c r="AG49" s="218"/>
      <c r="AH49" s="218"/>
      <c r="AI49" s="218"/>
      <c r="AJ49" s="218"/>
      <c r="AK49" s="218"/>
      <c r="AL49" s="218"/>
      <c r="AM49" s="218"/>
      <c r="AN49" s="219"/>
      <c r="AO49" s="218"/>
      <c r="AP49" s="217"/>
      <c r="AQ49" s="218"/>
      <c r="AR49" s="218"/>
      <c r="AS49" s="218"/>
      <c r="AT49" s="218"/>
      <c r="AU49" s="218"/>
      <c r="AV49" s="218"/>
      <c r="AW49" s="218"/>
      <c r="AX49" s="219"/>
      <c r="AY49" s="218"/>
      <c r="AZ49" s="546" t="s">
        <v>489</v>
      </c>
      <c r="BA49" s="547"/>
      <c r="BB49" s="547"/>
      <c r="BC49" s="547"/>
      <c r="BD49" s="547"/>
      <c r="BE49" s="547"/>
      <c r="BF49" s="547"/>
      <c r="BG49" s="547"/>
      <c r="BH49" s="548"/>
      <c r="BI49" s="218"/>
      <c r="BJ49" s="546" t="s">
        <v>489</v>
      </c>
      <c r="BK49" s="547"/>
      <c r="BL49" s="547"/>
      <c r="BM49" s="547"/>
      <c r="BN49" s="547"/>
      <c r="BO49" s="547"/>
      <c r="BP49" s="547"/>
      <c r="BQ49" s="547"/>
      <c r="BR49" s="548"/>
      <c r="BS49" s="220"/>
    </row>
    <row r="50" spans="2:71" s="216" customFormat="1" ht="9" customHeight="1" x14ac:dyDescent="0.25">
      <c r="B50" s="217"/>
      <c r="C50" s="218"/>
      <c r="D50" s="218"/>
      <c r="E50" s="218"/>
      <c r="F50" s="218"/>
      <c r="G50" s="218"/>
      <c r="H50" s="218"/>
      <c r="I50" s="218"/>
      <c r="J50" s="219"/>
      <c r="K50" s="218"/>
      <c r="L50" s="217"/>
      <c r="M50" s="218"/>
      <c r="N50" s="218"/>
      <c r="O50" s="218"/>
      <c r="P50" s="218"/>
      <c r="Q50" s="218"/>
      <c r="R50" s="218"/>
      <c r="S50" s="218"/>
      <c r="T50" s="219"/>
      <c r="U50" s="218"/>
      <c r="V50" s="217"/>
      <c r="W50" s="218"/>
      <c r="X50" s="218"/>
      <c r="Y50" s="218"/>
      <c r="Z50" s="218"/>
      <c r="AA50" s="218"/>
      <c r="AB50" s="218"/>
      <c r="AC50" s="218"/>
      <c r="AD50" s="219"/>
      <c r="AE50" s="218"/>
      <c r="AF50" s="217"/>
      <c r="AG50" s="218"/>
      <c r="AH50" s="218"/>
      <c r="AI50" s="218"/>
      <c r="AJ50" s="218"/>
      <c r="AK50" s="218"/>
      <c r="AL50" s="218"/>
      <c r="AM50" s="218"/>
      <c r="AN50" s="219"/>
      <c r="AO50" s="218"/>
      <c r="AP50" s="217"/>
      <c r="AQ50" s="218"/>
      <c r="AR50" s="218"/>
      <c r="AS50" s="218"/>
      <c r="AT50" s="218"/>
      <c r="AU50" s="218"/>
      <c r="AV50" s="218"/>
      <c r="AW50" s="218"/>
      <c r="AX50" s="219"/>
      <c r="AY50" s="218"/>
      <c r="AZ50" s="217"/>
      <c r="BA50" s="218"/>
      <c r="BB50" s="218"/>
      <c r="BC50" s="218"/>
      <c r="BD50" s="218"/>
      <c r="BE50" s="218"/>
      <c r="BF50" s="218"/>
      <c r="BG50" s="218"/>
      <c r="BH50" s="219"/>
      <c r="BI50" s="218"/>
      <c r="BJ50" s="217"/>
      <c r="BK50" s="218"/>
      <c r="BL50" s="218"/>
      <c r="BM50" s="218"/>
      <c r="BN50" s="218"/>
      <c r="BO50" s="218"/>
      <c r="BP50" s="218"/>
      <c r="BQ50" s="218"/>
      <c r="BR50" s="219"/>
      <c r="BS50" s="220"/>
    </row>
    <row r="51" spans="2:71" s="211" customFormat="1" ht="9" customHeight="1" x14ac:dyDescent="0.25">
      <c r="B51" s="213"/>
      <c r="C51" s="212"/>
      <c r="D51" s="212"/>
      <c r="E51" s="212"/>
      <c r="F51" s="212"/>
      <c r="G51" s="212"/>
      <c r="H51" s="212"/>
      <c r="I51" s="212"/>
      <c r="J51" s="214"/>
      <c r="K51" s="212"/>
      <c r="L51" s="213"/>
      <c r="M51" s="212"/>
      <c r="N51" s="212"/>
      <c r="O51" s="212"/>
      <c r="P51" s="212"/>
      <c r="Q51" s="212"/>
      <c r="R51" s="212"/>
      <c r="S51" s="212"/>
      <c r="T51" s="214"/>
      <c r="U51" s="212"/>
      <c r="V51" s="213"/>
      <c r="W51" s="212"/>
      <c r="X51" s="212"/>
      <c r="Y51" s="212"/>
      <c r="Z51" s="212"/>
      <c r="AA51" s="212"/>
      <c r="AB51" s="212"/>
      <c r="AC51" s="212"/>
      <c r="AD51" s="214"/>
      <c r="AE51" s="212"/>
      <c r="AF51" s="213"/>
      <c r="AG51" s="212"/>
      <c r="AH51" s="212"/>
      <c r="AI51" s="212"/>
      <c r="AJ51" s="212"/>
      <c r="AK51" s="212"/>
      <c r="AL51" s="212"/>
      <c r="AM51" s="212"/>
      <c r="AN51" s="214"/>
      <c r="AO51" s="212"/>
      <c r="AP51" s="213"/>
      <c r="AQ51" s="212"/>
      <c r="AR51" s="212"/>
      <c r="AS51" s="212"/>
      <c r="AT51" s="212"/>
      <c r="AU51" s="212"/>
      <c r="AV51" s="212"/>
      <c r="AW51" s="212"/>
      <c r="AX51" s="214"/>
      <c r="AY51" s="212"/>
      <c r="AZ51" s="213"/>
      <c r="BA51" s="212"/>
      <c r="BB51" s="212"/>
      <c r="BC51" s="212"/>
      <c r="BD51" s="212"/>
      <c r="BE51" s="212"/>
      <c r="BF51" s="212"/>
      <c r="BG51" s="212"/>
      <c r="BH51" s="214"/>
      <c r="BI51" s="212"/>
      <c r="BJ51" s="213"/>
      <c r="BK51" s="212"/>
      <c r="BL51" s="212"/>
      <c r="BM51" s="212"/>
      <c r="BN51" s="212"/>
      <c r="BO51" s="212"/>
      <c r="BP51" s="212"/>
      <c r="BQ51" s="212"/>
      <c r="BR51" s="214"/>
      <c r="BS51" s="215"/>
    </row>
    <row r="52" spans="2:71" s="235" customFormat="1" ht="9" customHeight="1" x14ac:dyDescent="0.25">
      <c r="B52" s="230"/>
      <c r="C52" s="231"/>
      <c r="D52" s="231"/>
      <c r="E52" s="231"/>
      <c r="F52" s="231"/>
      <c r="G52" s="231"/>
      <c r="H52" s="231"/>
      <c r="I52" s="231"/>
      <c r="J52" s="232"/>
      <c r="K52" s="231"/>
      <c r="L52" s="230"/>
      <c r="M52" s="231"/>
      <c r="N52" s="231"/>
      <c r="O52" s="231"/>
      <c r="P52" s="231"/>
      <c r="Q52" s="231"/>
      <c r="R52" s="231"/>
      <c r="S52" s="231"/>
      <c r="T52" s="232"/>
      <c r="U52" s="231"/>
      <c r="V52" s="230"/>
      <c r="W52" s="231"/>
      <c r="X52" s="231"/>
      <c r="Y52" s="231"/>
      <c r="Z52" s="231"/>
      <c r="AA52" s="231"/>
      <c r="AB52" s="231"/>
      <c r="AC52" s="231"/>
      <c r="AD52" s="232"/>
      <c r="AE52" s="231"/>
      <c r="AF52" s="230"/>
      <c r="AG52" s="231"/>
      <c r="AH52" s="231"/>
      <c r="AI52" s="231"/>
      <c r="AJ52" s="231"/>
      <c r="AK52" s="231"/>
      <c r="AL52" s="231"/>
      <c r="AM52" s="231"/>
      <c r="AN52" s="232"/>
      <c r="AO52" s="231"/>
      <c r="AP52" s="230"/>
      <c r="AQ52" s="231"/>
      <c r="AR52" s="231"/>
      <c r="AS52" s="231"/>
      <c r="AT52" s="231"/>
      <c r="AU52" s="231"/>
      <c r="AV52" s="231"/>
      <c r="AW52" s="231"/>
      <c r="AX52" s="232"/>
      <c r="AY52" s="231"/>
      <c r="AZ52" s="230"/>
      <c r="BA52" s="231"/>
      <c r="BB52" s="231"/>
      <c r="BC52" s="231"/>
      <c r="BD52" s="231"/>
      <c r="BE52" s="231"/>
      <c r="BF52" s="231"/>
      <c r="BG52" s="231"/>
      <c r="BH52" s="232"/>
      <c r="BI52" s="231"/>
      <c r="BJ52" s="230"/>
      <c r="BK52" s="231"/>
      <c r="BL52" s="231"/>
      <c r="BM52" s="231"/>
      <c r="BN52" s="231"/>
      <c r="BO52" s="231"/>
      <c r="BP52" s="231"/>
      <c r="BQ52" s="231"/>
      <c r="BR52" s="232"/>
      <c r="BS52" s="234"/>
    </row>
    <row r="53" spans="2:71" s="235" customFormat="1" ht="9" customHeight="1" x14ac:dyDescent="0.25">
      <c r="B53" s="230"/>
      <c r="C53" s="231"/>
      <c r="D53" s="231"/>
      <c r="E53" s="231"/>
      <c r="F53" s="231"/>
      <c r="G53" s="231"/>
      <c r="H53" s="231"/>
      <c r="I53" s="231"/>
      <c r="J53" s="232"/>
      <c r="K53" s="231"/>
      <c r="L53" s="230"/>
      <c r="M53" s="231"/>
      <c r="N53" s="231"/>
      <c r="O53" s="231"/>
      <c r="P53" s="231"/>
      <c r="Q53" s="231"/>
      <c r="R53" s="231"/>
      <c r="S53" s="231"/>
      <c r="T53" s="232"/>
      <c r="U53" s="231"/>
      <c r="V53" s="230"/>
      <c r="W53" s="231"/>
      <c r="X53" s="231"/>
      <c r="Y53" s="231"/>
      <c r="Z53" s="231"/>
      <c r="AA53" s="231"/>
      <c r="AB53" s="231"/>
      <c r="AC53" s="231"/>
      <c r="AD53" s="232"/>
      <c r="AE53" s="231"/>
      <c r="AF53" s="230"/>
      <c r="AG53" s="231"/>
      <c r="AH53" s="231"/>
      <c r="AI53" s="231"/>
      <c r="AJ53" s="231"/>
      <c r="AK53" s="231"/>
      <c r="AL53" s="231"/>
      <c r="AM53" s="231"/>
      <c r="AN53" s="232"/>
      <c r="AO53" s="231"/>
      <c r="AP53" s="230"/>
      <c r="AQ53" s="231"/>
      <c r="AR53" s="231"/>
      <c r="AS53" s="231"/>
      <c r="AT53" s="231"/>
      <c r="AU53" s="231"/>
      <c r="AV53" s="231"/>
      <c r="AW53" s="231"/>
      <c r="AX53" s="232"/>
      <c r="AY53" s="231"/>
      <c r="AZ53" s="230"/>
      <c r="BA53" s="231"/>
      <c r="BB53" s="231"/>
      <c r="BC53" s="231"/>
      <c r="BD53" s="231"/>
      <c r="BE53" s="231"/>
      <c r="BF53" s="231"/>
      <c r="BG53" s="231"/>
      <c r="BH53" s="232"/>
      <c r="BI53" s="231"/>
      <c r="BJ53" s="230"/>
      <c r="BK53" s="231"/>
      <c r="BL53" s="231"/>
      <c r="BM53" s="231"/>
      <c r="BN53" s="231"/>
      <c r="BO53" s="231"/>
      <c r="BP53" s="231"/>
      <c r="BQ53" s="231"/>
      <c r="BR53" s="232"/>
      <c r="BS53" s="234"/>
    </row>
    <row r="54" spans="2:71" s="211" customFormat="1" ht="9" customHeight="1" x14ac:dyDescent="0.25">
      <c r="B54" s="213"/>
      <c r="C54" s="212"/>
      <c r="D54" s="212"/>
      <c r="E54" s="212"/>
      <c r="F54" s="212"/>
      <c r="G54" s="212"/>
      <c r="H54" s="212"/>
      <c r="I54" s="212"/>
      <c r="J54" s="214"/>
      <c r="K54" s="212"/>
      <c r="L54" s="213"/>
      <c r="M54" s="212"/>
      <c r="N54" s="212"/>
      <c r="O54" s="212"/>
      <c r="P54" s="212"/>
      <c r="Q54" s="212"/>
      <c r="R54" s="212"/>
      <c r="S54" s="212"/>
      <c r="T54" s="214"/>
      <c r="U54" s="212"/>
      <c r="V54" s="213"/>
      <c r="W54" s="212"/>
      <c r="X54" s="212"/>
      <c r="Y54" s="212"/>
      <c r="Z54" s="212"/>
      <c r="AA54" s="212"/>
      <c r="AB54" s="212"/>
      <c r="AC54" s="212"/>
      <c r="AD54" s="214"/>
      <c r="AE54" s="212"/>
      <c r="AF54" s="213"/>
      <c r="AG54" s="212"/>
      <c r="AH54" s="212"/>
      <c r="AI54" s="212"/>
      <c r="AJ54" s="212"/>
      <c r="AK54" s="212"/>
      <c r="AL54" s="212"/>
      <c r="AM54" s="212"/>
      <c r="AN54" s="214"/>
      <c r="AO54" s="212"/>
      <c r="AP54" s="213"/>
      <c r="AQ54" s="212"/>
      <c r="AR54" s="212"/>
      <c r="AS54" s="212"/>
      <c r="AT54" s="212"/>
      <c r="AU54" s="212"/>
      <c r="AV54" s="212"/>
      <c r="AW54" s="212"/>
      <c r="AX54" s="214"/>
      <c r="AY54" s="212"/>
      <c r="AZ54" s="213"/>
      <c r="BA54" s="212"/>
      <c r="BB54" s="212"/>
      <c r="BC54" s="212"/>
      <c r="BD54" s="212"/>
      <c r="BE54" s="212"/>
      <c r="BF54" s="212"/>
      <c r="BG54" s="212"/>
      <c r="BH54" s="214"/>
      <c r="BI54" s="212"/>
      <c r="BJ54" s="213"/>
      <c r="BK54" s="212"/>
      <c r="BL54" s="212"/>
      <c r="BM54" s="212"/>
      <c r="BN54" s="212"/>
      <c r="BO54" s="212"/>
      <c r="BP54" s="212"/>
      <c r="BQ54" s="212"/>
      <c r="BR54" s="214"/>
      <c r="BS54" s="215"/>
    </row>
    <row r="55" spans="2:71" s="211" customFormat="1" ht="9" customHeight="1" x14ac:dyDescent="0.25">
      <c r="B55" s="213"/>
      <c r="C55" s="212"/>
      <c r="D55" s="212"/>
      <c r="E55" s="212"/>
      <c r="F55" s="212"/>
      <c r="G55" s="212"/>
      <c r="H55" s="212"/>
      <c r="I55" s="212"/>
      <c r="J55" s="214"/>
      <c r="K55" s="212"/>
      <c r="L55" s="213"/>
      <c r="M55" s="212"/>
      <c r="N55" s="212"/>
      <c r="O55" s="212"/>
      <c r="P55" s="212"/>
      <c r="Q55" s="212"/>
      <c r="R55" s="212"/>
      <c r="S55" s="212"/>
      <c r="T55" s="214"/>
      <c r="U55" s="212"/>
      <c r="V55" s="213"/>
      <c r="W55" s="212"/>
      <c r="X55" s="212"/>
      <c r="Y55" s="212"/>
      <c r="Z55" s="212"/>
      <c r="AA55" s="212"/>
      <c r="AB55" s="212"/>
      <c r="AC55" s="212"/>
      <c r="AD55" s="214"/>
      <c r="AE55" s="212"/>
      <c r="AF55" s="213"/>
      <c r="AG55" s="212"/>
      <c r="AH55" s="212"/>
      <c r="AI55" s="212"/>
      <c r="AJ55" s="212"/>
      <c r="AK55" s="212"/>
      <c r="AL55" s="212"/>
      <c r="AM55" s="212"/>
      <c r="AN55" s="214"/>
      <c r="AO55" s="212"/>
      <c r="AP55" s="213"/>
      <c r="AQ55" s="212"/>
      <c r="AR55" s="212"/>
      <c r="AS55" s="212"/>
      <c r="AT55" s="212"/>
      <c r="AU55" s="212"/>
      <c r="AV55" s="212"/>
      <c r="AW55" s="212"/>
      <c r="AX55" s="214"/>
      <c r="AY55" s="212"/>
      <c r="AZ55" s="213"/>
      <c r="BA55" s="212"/>
      <c r="BB55" s="212"/>
      <c r="BC55" s="212"/>
      <c r="BD55" s="212"/>
      <c r="BE55" s="212"/>
      <c r="BF55" s="212"/>
      <c r="BG55" s="212"/>
      <c r="BH55" s="214"/>
      <c r="BI55" s="212"/>
      <c r="BJ55" s="213"/>
      <c r="BK55" s="212"/>
      <c r="BL55" s="212"/>
      <c r="BM55" s="212"/>
      <c r="BN55" s="212"/>
      <c r="BO55" s="212"/>
      <c r="BP55" s="212"/>
      <c r="BQ55" s="212"/>
      <c r="BR55" s="214"/>
      <c r="BS55" s="215"/>
    </row>
    <row r="56" spans="2:71" s="211" customFormat="1" ht="9" customHeight="1" x14ac:dyDescent="0.25">
      <c r="B56" s="213"/>
      <c r="C56" s="212"/>
      <c r="D56" s="212"/>
      <c r="E56" s="212"/>
      <c r="F56" s="212"/>
      <c r="G56" s="212"/>
      <c r="H56" s="212"/>
      <c r="I56" s="212"/>
      <c r="J56" s="214"/>
      <c r="K56" s="212"/>
      <c r="L56" s="213"/>
      <c r="M56" s="212"/>
      <c r="N56" s="212"/>
      <c r="O56" s="212"/>
      <c r="P56" s="212"/>
      <c r="Q56" s="212"/>
      <c r="R56" s="212"/>
      <c r="S56" s="212"/>
      <c r="T56" s="214"/>
      <c r="U56" s="212"/>
      <c r="V56" s="213"/>
      <c r="W56" s="212"/>
      <c r="X56" s="212"/>
      <c r="Y56" s="212"/>
      <c r="Z56" s="212"/>
      <c r="AA56" s="212"/>
      <c r="AB56" s="212"/>
      <c r="AC56" s="212"/>
      <c r="AD56" s="214"/>
      <c r="AE56" s="212"/>
      <c r="AF56" s="213"/>
      <c r="AG56" s="212"/>
      <c r="AH56" s="212"/>
      <c r="AI56" s="212"/>
      <c r="AJ56" s="212"/>
      <c r="AK56" s="212"/>
      <c r="AL56" s="212"/>
      <c r="AM56" s="212"/>
      <c r="AN56" s="214"/>
      <c r="AO56" s="212"/>
      <c r="AP56" s="213"/>
      <c r="AQ56" s="212"/>
      <c r="AR56" s="212"/>
      <c r="AS56" s="212"/>
      <c r="AT56" s="212"/>
      <c r="AU56" s="212"/>
      <c r="AV56" s="212"/>
      <c r="AW56" s="212"/>
      <c r="AX56" s="214"/>
      <c r="AY56" s="212"/>
      <c r="AZ56" s="213"/>
      <c r="BA56" s="212"/>
      <c r="BB56" s="212"/>
      <c r="BC56" s="212"/>
      <c r="BD56" s="212"/>
      <c r="BE56" s="212"/>
      <c r="BF56" s="212"/>
      <c r="BG56" s="212"/>
      <c r="BH56" s="214"/>
      <c r="BI56" s="212"/>
      <c r="BJ56" s="213"/>
      <c r="BK56" s="212"/>
      <c r="BL56" s="212"/>
      <c r="BM56" s="212"/>
      <c r="BN56" s="212"/>
      <c r="BO56" s="212"/>
      <c r="BP56" s="212"/>
      <c r="BQ56" s="212"/>
      <c r="BR56" s="214"/>
      <c r="BS56" s="215"/>
    </row>
    <row r="57" spans="2:71" s="211" customFormat="1" ht="9" customHeight="1" x14ac:dyDescent="0.25">
      <c r="B57" s="213"/>
      <c r="C57" s="212"/>
      <c r="D57" s="212"/>
      <c r="E57" s="212"/>
      <c r="F57" s="212"/>
      <c r="G57" s="212"/>
      <c r="H57" s="212"/>
      <c r="I57" s="212"/>
      <c r="J57" s="214"/>
      <c r="K57" s="212"/>
      <c r="L57" s="213"/>
      <c r="M57" s="212"/>
      <c r="N57" s="212"/>
      <c r="O57" s="212"/>
      <c r="P57" s="212"/>
      <c r="Q57" s="212"/>
      <c r="R57" s="212"/>
      <c r="S57" s="212"/>
      <c r="T57" s="214"/>
      <c r="U57" s="212"/>
      <c r="V57" s="213"/>
      <c r="W57" s="212"/>
      <c r="X57" s="212"/>
      <c r="Y57" s="212"/>
      <c r="Z57" s="212"/>
      <c r="AA57" s="212"/>
      <c r="AB57" s="212"/>
      <c r="AC57" s="212"/>
      <c r="AD57" s="214"/>
      <c r="AE57" s="212"/>
      <c r="AF57" s="213"/>
      <c r="AG57" s="212"/>
      <c r="AH57" s="212"/>
      <c r="AI57" s="212"/>
      <c r="AJ57" s="212"/>
      <c r="AK57" s="212"/>
      <c r="AL57" s="212"/>
      <c r="AM57" s="212"/>
      <c r="AN57" s="214"/>
      <c r="AO57" s="212"/>
      <c r="AP57" s="213"/>
      <c r="AQ57" s="212"/>
      <c r="AR57" s="212"/>
      <c r="AS57" s="212"/>
      <c r="AT57" s="212"/>
      <c r="AU57" s="212"/>
      <c r="AV57" s="212"/>
      <c r="AW57" s="212"/>
      <c r="AX57" s="214"/>
      <c r="AY57" s="212"/>
      <c r="AZ57" s="213"/>
      <c r="BA57" s="212"/>
      <c r="BB57" s="212"/>
      <c r="BC57" s="212"/>
      <c r="BD57" s="212"/>
      <c r="BE57" s="212"/>
      <c r="BF57" s="212"/>
      <c r="BG57" s="212"/>
      <c r="BH57" s="214"/>
      <c r="BI57" s="212"/>
      <c r="BJ57" s="213"/>
      <c r="BK57" s="212"/>
      <c r="BL57" s="212"/>
      <c r="BM57" s="212"/>
      <c r="BN57" s="212"/>
      <c r="BO57" s="212"/>
      <c r="BP57" s="212"/>
      <c r="BQ57" s="212"/>
      <c r="BR57" s="214"/>
      <c r="BS57" s="215"/>
    </row>
    <row r="58" spans="2:71" s="211" customFormat="1" ht="9" customHeight="1" x14ac:dyDescent="0.25">
      <c r="B58" s="223"/>
      <c r="C58" s="224"/>
      <c r="D58" s="224"/>
      <c r="E58" s="224"/>
      <c r="F58" s="224"/>
      <c r="G58" s="224"/>
      <c r="H58" s="224"/>
      <c r="I58" s="224"/>
      <c r="J58" s="225"/>
      <c r="K58" s="212"/>
      <c r="L58" s="223"/>
      <c r="M58" s="224"/>
      <c r="N58" s="224"/>
      <c r="O58" s="224"/>
      <c r="P58" s="224"/>
      <c r="Q58" s="224"/>
      <c r="R58" s="224"/>
      <c r="S58" s="224"/>
      <c r="T58" s="225"/>
      <c r="U58" s="212"/>
      <c r="V58" s="223"/>
      <c r="W58" s="224"/>
      <c r="X58" s="224"/>
      <c r="Y58" s="224"/>
      <c r="Z58" s="224"/>
      <c r="AA58" s="224"/>
      <c r="AB58" s="224"/>
      <c r="AC58" s="224"/>
      <c r="AD58" s="225"/>
      <c r="AE58" s="212"/>
      <c r="AF58" s="223"/>
      <c r="AG58" s="224"/>
      <c r="AH58" s="224"/>
      <c r="AI58" s="224"/>
      <c r="AJ58" s="224"/>
      <c r="AK58" s="224"/>
      <c r="AL58" s="224"/>
      <c r="AM58" s="224"/>
      <c r="AN58" s="225"/>
      <c r="AO58" s="212"/>
      <c r="AP58" s="223"/>
      <c r="AQ58" s="224"/>
      <c r="AR58" s="224"/>
      <c r="AS58" s="224"/>
      <c r="AT58" s="224"/>
      <c r="AU58" s="224"/>
      <c r="AV58" s="224"/>
      <c r="AW58" s="224"/>
      <c r="AX58" s="225"/>
      <c r="AY58" s="212"/>
      <c r="AZ58" s="561" t="s">
        <v>520</v>
      </c>
      <c r="BA58" s="562"/>
      <c r="BB58" s="562"/>
      <c r="BC58" s="562"/>
      <c r="BD58" s="562"/>
      <c r="BE58" s="562"/>
      <c r="BF58" s="562"/>
      <c r="BG58" s="562"/>
      <c r="BH58" s="563"/>
      <c r="BI58" s="212"/>
      <c r="BJ58" s="561" t="s">
        <v>520</v>
      </c>
      <c r="BK58" s="562"/>
      <c r="BL58" s="562"/>
      <c r="BM58" s="562"/>
      <c r="BN58" s="562"/>
      <c r="BO58" s="562"/>
      <c r="BP58" s="562"/>
      <c r="BQ58" s="562"/>
      <c r="BR58" s="563"/>
      <c r="BS58" s="215"/>
    </row>
    <row r="59" spans="2:71" s="211" customFormat="1" ht="9" customHeight="1" x14ac:dyDescent="0.25">
      <c r="B59" s="543" t="s">
        <v>511</v>
      </c>
      <c r="C59" s="543"/>
      <c r="D59" s="543"/>
      <c r="E59" s="543"/>
      <c r="F59" s="543"/>
      <c r="G59" s="542">
        <f>CEILING(3201*B3,1)</f>
        <v>6082</v>
      </c>
      <c r="H59" s="542"/>
      <c r="I59" s="542"/>
      <c r="J59" s="542"/>
      <c r="K59" s="200"/>
      <c r="L59" s="543" t="s">
        <v>511</v>
      </c>
      <c r="M59" s="543"/>
      <c r="N59" s="543"/>
      <c r="O59" s="543"/>
      <c r="P59" s="543"/>
      <c r="Q59" s="542">
        <f>CEILING(3498*B3,1)</f>
        <v>6647</v>
      </c>
      <c r="R59" s="542"/>
      <c r="S59" s="542"/>
      <c r="T59" s="542"/>
      <c r="U59" s="200"/>
      <c r="V59" s="543" t="s">
        <v>511</v>
      </c>
      <c r="W59" s="543"/>
      <c r="X59" s="543"/>
      <c r="Y59" s="543"/>
      <c r="Z59" s="543"/>
      <c r="AA59" s="542">
        <f>CEILING(2742*B3,1)</f>
        <v>5210</v>
      </c>
      <c r="AB59" s="542"/>
      <c r="AC59" s="542"/>
      <c r="AD59" s="542"/>
      <c r="AE59" s="200"/>
      <c r="AF59" s="543" t="s">
        <v>511</v>
      </c>
      <c r="AG59" s="543"/>
      <c r="AH59" s="543"/>
      <c r="AI59" s="543"/>
      <c r="AJ59" s="543"/>
      <c r="AK59" s="542">
        <f>CEILING(2876*B3,1)</f>
        <v>5465</v>
      </c>
      <c r="AL59" s="542"/>
      <c r="AM59" s="542"/>
      <c r="AN59" s="542"/>
      <c r="AO59" s="200"/>
      <c r="AP59" s="543" t="s">
        <v>511</v>
      </c>
      <c r="AQ59" s="543"/>
      <c r="AR59" s="543"/>
      <c r="AS59" s="543"/>
      <c r="AT59" s="543"/>
      <c r="AU59" s="542">
        <f>CEILING(2958*B3,1)</f>
        <v>5621</v>
      </c>
      <c r="AV59" s="542"/>
      <c r="AW59" s="542"/>
      <c r="AX59" s="542"/>
      <c r="AY59" s="200"/>
      <c r="AZ59" s="543" t="s">
        <v>521</v>
      </c>
      <c r="BA59" s="543"/>
      <c r="BB59" s="543"/>
      <c r="BC59" s="543"/>
      <c r="BD59" s="543"/>
      <c r="BE59" s="542">
        <f>CEILING(2604*B3,1)</f>
        <v>4948</v>
      </c>
      <c r="BF59" s="542"/>
      <c r="BG59" s="542"/>
      <c r="BH59" s="542"/>
      <c r="BI59" s="200"/>
      <c r="BJ59" s="543" t="s">
        <v>521</v>
      </c>
      <c r="BK59" s="543"/>
      <c r="BL59" s="543"/>
      <c r="BM59" s="543"/>
      <c r="BN59" s="543"/>
      <c r="BO59" s="542">
        <f>CEILING(3011*B3,1)</f>
        <v>5721</v>
      </c>
      <c r="BP59" s="542"/>
      <c r="BQ59" s="542"/>
      <c r="BR59" s="542"/>
      <c r="BS59" s="215"/>
    </row>
    <row r="60" spans="2:71" s="211" customFormat="1" ht="1.5" customHeight="1" x14ac:dyDescent="0.25">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5"/>
    </row>
    <row r="61" spans="2:71" s="211" customFormat="1" ht="9" customHeight="1" x14ac:dyDescent="0.25">
      <c r="B61" s="556" t="s">
        <v>522</v>
      </c>
      <c r="C61" s="557"/>
      <c r="D61" s="558"/>
      <c r="E61" s="554" t="s">
        <v>481</v>
      </c>
      <c r="F61" s="554"/>
      <c r="G61" s="554"/>
      <c r="H61" s="554"/>
      <c r="I61" s="554"/>
      <c r="J61" s="555"/>
      <c r="K61" s="212"/>
      <c r="L61" s="556" t="s">
        <v>523</v>
      </c>
      <c r="M61" s="557"/>
      <c r="N61" s="558"/>
      <c r="O61" s="554" t="s">
        <v>481</v>
      </c>
      <c r="P61" s="554"/>
      <c r="Q61" s="554"/>
      <c r="R61" s="554"/>
      <c r="S61" s="554"/>
      <c r="T61" s="555"/>
      <c r="U61" s="212"/>
      <c r="V61" s="556" t="s">
        <v>524</v>
      </c>
      <c r="W61" s="557"/>
      <c r="X61" s="558"/>
      <c r="Y61" s="554" t="s">
        <v>481</v>
      </c>
      <c r="Z61" s="554"/>
      <c r="AA61" s="554"/>
      <c r="AB61" s="554"/>
      <c r="AC61" s="554"/>
      <c r="AD61" s="555"/>
      <c r="AE61" s="212"/>
      <c r="AF61" s="556" t="s">
        <v>525</v>
      </c>
      <c r="AG61" s="557"/>
      <c r="AH61" s="558"/>
      <c r="AI61" s="554" t="s">
        <v>526</v>
      </c>
      <c r="AJ61" s="554"/>
      <c r="AK61" s="554"/>
      <c r="AL61" s="554"/>
      <c r="AM61" s="554"/>
      <c r="AN61" s="555"/>
      <c r="AO61" s="212"/>
      <c r="AP61" s="556" t="s">
        <v>527</v>
      </c>
      <c r="AQ61" s="557"/>
      <c r="AR61" s="558"/>
      <c r="AS61" s="554" t="s">
        <v>526</v>
      </c>
      <c r="AT61" s="554"/>
      <c r="AU61" s="554"/>
      <c r="AV61" s="554"/>
      <c r="AW61" s="554"/>
      <c r="AX61" s="555"/>
      <c r="AY61" s="212"/>
      <c r="AZ61" s="556" t="s">
        <v>528</v>
      </c>
      <c r="BA61" s="557"/>
      <c r="BB61" s="558"/>
      <c r="BC61" s="554" t="s">
        <v>526</v>
      </c>
      <c r="BD61" s="554"/>
      <c r="BE61" s="554"/>
      <c r="BF61" s="554"/>
      <c r="BG61" s="554"/>
      <c r="BH61" s="555"/>
      <c r="BI61" s="231"/>
      <c r="BJ61" s="556" t="s">
        <v>529</v>
      </c>
      <c r="BK61" s="557"/>
      <c r="BL61" s="558"/>
      <c r="BM61" s="554" t="s">
        <v>530</v>
      </c>
      <c r="BN61" s="554"/>
      <c r="BO61" s="554"/>
      <c r="BP61" s="554"/>
      <c r="BQ61" s="554"/>
      <c r="BR61" s="555"/>
      <c r="BS61" s="215"/>
    </row>
    <row r="62" spans="2:71" s="211" customFormat="1" ht="9" customHeight="1" x14ac:dyDescent="0.25">
      <c r="B62" s="546" t="s">
        <v>519</v>
      </c>
      <c r="C62" s="547"/>
      <c r="D62" s="547"/>
      <c r="E62" s="547"/>
      <c r="F62" s="547"/>
      <c r="G62" s="547"/>
      <c r="H62" s="547"/>
      <c r="I62" s="547"/>
      <c r="J62" s="548"/>
      <c r="K62" s="218"/>
      <c r="L62" s="546" t="s">
        <v>519</v>
      </c>
      <c r="M62" s="547"/>
      <c r="N62" s="547"/>
      <c r="O62" s="547"/>
      <c r="P62" s="547"/>
      <c r="Q62" s="547"/>
      <c r="R62" s="547"/>
      <c r="S62" s="547"/>
      <c r="T62" s="548"/>
      <c r="U62" s="218"/>
      <c r="V62" s="546" t="s">
        <v>519</v>
      </c>
      <c r="W62" s="547"/>
      <c r="X62" s="547"/>
      <c r="Y62" s="547"/>
      <c r="Z62" s="547"/>
      <c r="AA62" s="547"/>
      <c r="AB62" s="547"/>
      <c r="AC62" s="547"/>
      <c r="AD62" s="548"/>
      <c r="AE62" s="218"/>
      <c r="AF62" s="223"/>
      <c r="AG62" s="224"/>
      <c r="AH62" s="224"/>
      <c r="AI62" s="224"/>
      <c r="AJ62" s="224"/>
      <c r="AK62" s="224"/>
      <c r="AL62" s="224"/>
      <c r="AM62" s="224"/>
      <c r="AN62" s="225"/>
      <c r="AO62" s="218"/>
      <c r="AP62" s="223"/>
      <c r="AQ62" s="224"/>
      <c r="AR62" s="224"/>
      <c r="AS62" s="224"/>
      <c r="AT62" s="224"/>
      <c r="AU62" s="224"/>
      <c r="AV62" s="224"/>
      <c r="AW62" s="224"/>
      <c r="AX62" s="225"/>
      <c r="AY62" s="212"/>
      <c r="AZ62" s="223"/>
      <c r="BA62" s="224"/>
      <c r="BB62" s="224"/>
      <c r="BC62" s="224"/>
      <c r="BD62" s="224"/>
      <c r="BE62" s="224"/>
      <c r="BF62" s="224"/>
      <c r="BG62" s="224"/>
      <c r="BH62" s="225"/>
      <c r="BI62" s="231"/>
      <c r="BJ62" s="223"/>
      <c r="BK62" s="224"/>
      <c r="BL62" s="224"/>
      <c r="BM62" s="224"/>
      <c r="BN62" s="224"/>
      <c r="BO62" s="224"/>
      <c r="BP62" s="224"/>
      <c r="BQ62" s="224"/>
      <c r="BR62" s="225"/>
      <c r="BS62" s="215"/>
    </row>
    <row r="63" spans="2:71" s="211" customFormat="1" ht="9" customHeight="1" x14ac:dyDescent="0.25">
      <c r="B63" s="546" t="s">
        <v>489</v>
      </c>
      <c r="C63" s="547"/>
      <c r="D63" s="547"/>
      <c r="E63" s="547"/>
      <c r="F63" s="547"/>
      <c r="G63" s="547"/>
      <c r="H63" s="547"/>
      <c r="I63" s="547"/>
      <c r="J63" s="548"/>
      <c r="K63" s="218"/>
      <c r="L63" s="546" t="s">
        <v>489</v>
      </c>
      <c r="M63" s="547"/>
      <c r="N63" s="547"/>
      <c r="O63" s="547"/>
      <c r="P63" s="547"/>
      <c r="Q63" s="547"/>
      <c r="R63" s="547"/>
      <c r="S63" s="547"/>
      <c r="T63" s="548"/>
      <c r="U63" s="218"/>
      <c r="V63" s="546" t="s">
        <v>489</v>
      </c>
      <c r="W63" s="547"/>
      <c r="X63" s="547"/>
      <c r="Y63" s="547"/>
      <c r="Z63" s="547"/>
      <c r="AA63" s="547"/>
      <c r="AB63" s="547"/>
      <c r="AC63" s="547"/>
      <c r="AD63" s="548"/>
      <c r="AE63" s="218"/>
      <c r="AF63" s="217"/>
      <c r="AG63" s="218"/>
      <c r="AH63" s="218"/>
      <c r="AI63" s="218"/>
      <c r="AJ63" s="218"/>
      <c r="AK63" s="218"/>
      <c r="AL63" s="218"/>
      <c r="AM63" s="218"/>
      <c r="AN63" s="219"/>
      <c r="AO63" s="218"/>
      <c r="AP63" s="217"/>
      <c r="AQ63" s="218"/>
      <c r="AR63" s="218"/>
      <c r="AS63" s="218"/>
      <c r="AT63" s="218"/>
      <c r="AU63" s="218"/>
      <c r="AV63" s="218"/>
      <c r="AW63" s="218"/>
      <c r="AX63" s="219"/>
      <c r="AY63" s="212"/>
      <c r="AZ63" s="223"/>
      <c r="BA63" s="224"/>
      <c r="BB63" s="224"/>
      <c r="BC63" s="218"/>
      <c r="BD63" s="218"/>
      <c r="BE63" s="218"/>
      <c r="BF63" s="218"/>
      <c r="BG63" s="218"/>
      <c r="BH63" s="219"/>
      <c r="BI63" s="231"/>
      <c r="BJ63" s="223"/>
      <c r="BK63" s="224"/>
      <c r="BL63" s="224"/>
      <c r="BM63" s="218"/>
      <c r="BN63" s="218"/>
      <c r="BO63" s="218"/>
      <c r="BP63" s="218"/>
      <c r="BQ63" s="218"/>
      <c r="BR63" s="219"/>
      <c r="BS63" s="215"/>
    </row>
    <row r="64" spans="2:71" s="211" customFormat="1" ht="9" customHeight="1" x14ac:dyDescent="0.25">
      <c r="B64" s="217"/>
      <c r="C64" s="218"/>
      <c r="D64" s="218"/>
      <c r="E64" s="218"/>
      <c r="F64" s="218"/>
      <c r="G64" s="218"/>
      <c r="H64" s="218"/>
      <c r="I64" s="218"/>
      <c r="J64" s="219"/>
      <c r="K64" s="218"/>
      <c r="L64" s="217"/>
      <c r="M64" s="218"/>
      <c r="N64" s="218"/>
      <c r="O64" s="218"/>
      <c r="P64" s="218"/>
      <c r="Q64" s="218"/>
      <c r="R64" s="218"/>
      <c r="S64" s="218"/>
      <c r="T64" s="219"/>
      <c r="U64" s="218"/>
      <c r="V64" s="217"/>
      <c r="W64" s="218"/>
      <c r="X64" s="218"/>
      <c r="Y64" s="218"/>
      <c r="Z64" s="218"/>
      <c r="AA64" s="218"/>
      <c r="AB64" s="218"/>
      <c r="AC64" s="218"/>
      <c r="AD64" s="219"/>
      <c r="AE64" s="218"/>
      <c r="AF64" s="217"/>
      <c r="AG64" s="218"/>
      <c r="AH64" s="218"/>
      <c r="AI64" s="218"/>
      <c r="AJ64" s="218"/>
      <c r="AK64" s="218"/>
      <c r="AL64" s="218"/>
      <c r="AM64" s="218"/>
      <c r="AN64" s="219"/>
      <c r="AO64" s="218"/>
      <c r="AP64" s="217"/>
      <c r="AQ64" s="218"/>
      <c r="AR64" s="218"/>
      <c r="AS64" s="218"/>
      <c r="AT64" s="218"/>
      <c r="AU64" s="218"/>
      <c r="AV64" s="218"/>
      <c r="AW64" s="218"/>
      <c r="AX64" s="219"/>
      <c r="AY64" s="212"/>
      <c r="AZ64" s="223"/>
      <c r="BA64" s="224"/>
      <c r="BB64" s="224"/>
      <c r="BC64" s="224"/>
      <c r="BD64" s="224"/>
      <c r="BE64" s="224"/>
      <c r="BF64" s="224"/>
      <c r="BG64" s="224"/>
      <c r="BH64" s="225"/>
      <c r="BI64" s="231"/>
      <c r="BJ64" s="217"/>
      <c r="BK64" s="218"/>
      <c r="BL64" s="218"/>
      <c r="BM64" s="218"/>
      <c r="BN64" s="218"/>
      <c r="BO64" s="218"/>
      <c r="BP64" s="218"/>
      <c r="BQ64" s="218"/>
      <c r="BR64" s="219"/>
      <c r="BS64" s="215"/>
    </row>
    <row r="65" spans="2:80" s="211" customFormat="1" ht="9" customHeight="1" x14ac:dyDescent="0.25">
      <c r="B65" s="213"/>
      <c r="C65" s="212"/>
      <c r="D65" s="212"/>
      <c r="E65" s="212"/>
      <c r="F65" s="212"/>
      <c r="G65" s="212"/>
      <c r="H65" s="212"/>
      <c r="I65" s="212"/>
      <c r="J65" s="214"/>
      <c r="K65" s="212"/>
      <c r="L65" s="213"/>
      <c r="M65" s="212"/>
      <c r="N65" s="212"/>
      <c r="O65" s="212"/>
      <c r="P65" s="212"/>
      <c r="Q65" s="212"/>
      <c r="R65" s="212"/>
      <c r="S65" s="212"/>
      <c r="T65" s="214"/>
      <c r="U65" s="212"/>
      <c r="V65" s="213"/>
      <c r="W65" s="212"/>
      <c r="X65" s="212"/>
      <c r="Y65" s="212"/>
      <c r="Z65" s="212"/>
      <c r="AA65" s="212"/>
      <c r="AB65" s="212"/>
      <c r="AC65" s="212"/>
      <c r="AD65" s="214"/>
      <c r="AE65" s="212"/>
      <c r="AF65" s="213"/>
      <c r="AG65" s="212"/>
      <c r="AH65" s="212"/>
      <c r="AI65" s="212"/>
      <c r="AJ65" s="212"/>
      <c r="AK65" s="212"/>
      <c r="AL65" s="212"/>
      <c r="AM65" s="212"/>
      <c r="AN65" s="214"/>
      <c r="AO65" s="212"/>
      <c r="AP65" s="213"/>
      <c r="AQ65" s="212"/>
      <c r="AR65" s="212"/>
      <c r="AS65" s="212"/>
      <c r="AT65" s="212"/>
      <c r="AU65" s="212"/>
      <c r="AV65" s="212"/>
      <c r="AW65" s="212"/>
      <c r="AX65" s="214"/>
      <c r="AY65" s="212"/>
      <c r="AZ65" s="223"/>
      <c r="BA65" s="224"/>
      <c r="BB65" s="224"/>
      <c r="BC65" s="224"/>
      <c r="BD65" s="224"/>
      <c r="BE65" s="224"/>
      <c r="BF65" s="224"/>
      <c r="BG65" s="224"/>
      <c r="BH65" s="225"/>
      <c r="BI65" s="231"/>
      <c r="BJ65" s="223"/>
      <c r="BK65" s="224"/>
      <c r="BL65" s="224"/>
      <c r="BM65" s="224"/>
      <c r="BN65" s="224"/>
      <c r="BO65" s="224"/>
      <c r="BP65" s="224"/>
      <c r="BQ65" s="224"/>
      <c r="BR65" s="225"/>
      <c r="BS65" s="215"/>
    </row>
    <row r="66" spans="2:80" s="211" customFormat="1" ht="9" customHeight="1" x14ac:dyDescent="0.25">
      <c r="B66" s="230"/>
      <c r="C66" s="231"/>
      <c r="D66" s="231"/>
      <c r="E66" s="231"/>
      <c r="F66" s="231"/>
      <c r="G66" s="231"/>
      <c r="H66" s="231"/>
      <c r="I66" s="231"/>
      <c r="J66" s="232"/>
      <c r="K66" s="212"/>
      <c r="L66" s="230"/>
      <c r="M66" s="231"/>
      <c r="N66" s="231"/>
      <c r="O66" s="231"/>
      <c r="P66" s="231"/>
      <c r="Q66" s="231"/>
      <c r="R66" s="231"/>
      <c r="S66" s="231"/>
      <c r="T66" s="232"/>
      <c r="U66" s="212"/>
      <c r="V66" s="230"/>
      <c r="W66" s="231"/>
      <c r="X66" s="231"/>
      <c r="Y66" s="231"/>
      <c r="Z66" s="231"/>
      <c r="AA66" s="231"/>
      <c r="AB66" s="231"/>
      <c r="AC66" s="231"/>
      <c r="AD66" s="232"/>
      <c r="AE66" s="212"/>
      <c r="AF66" s="213"/>
      <c r="AG66" s="212"/>
      <c r="AH66" s="212"/>
      <c r="AI66" s="212"/>
      <c r="AJ66" s="212"/>
      <c r="AK66" s="212"/>
      <c r="AL66" s="212"/>
      <c r="AM66" s="212"/>
      <c r="AN66" s="214"/>
      <c r="AO66" s="212"/>
      <c r="AP66" s="213"/>
      <c r="AQ66" s="212"/>
      <c r="AR66" s="212"/>
      <c r="AS66" s="212"/>
      <c r="AT66" s="212"/>
      <c r="AU66" s="212"/>
      <c r="AV66" s="212"/>
      <c r="AW66" s="212"/>
      <c r="AX66" s="214"/>
      <c r="AY66" s="212"/>
      <c r="AZ66" s="223"/>
      <c r="BA66" s="224"/>
      <c r="BB66" s="224"/>
      <c r="BC66" s="224"/>
      <c r="BD66" s="224"/>
      <c r="BE66" s="224"/>
      <c r="BF66" s="224"/>
      <c r="BG66" s="224"/>
      <c r="BH66" s="225"/>
      <c r="BI66" s="231"/>
      <c r="BJ66" s="223"/>
      <c r="BK66" s="224"/>
      <c r="BL66" s="224"/>
      <c r="BM66" s="224"/>
      <c r="BN66" s="224"/>
      <c r="BO66" s="224"/>
      <c r="BP66" s="224"/>
      <c r="BQ66" s="224"/>
      <c r="BR66" s="225"/>
      <c r="BS66" s="215"/>
    </row>
    <row r="67" spans="2:80" s="211" customFormat="1" ht="9" customHeight="1" x14ac:dyDescent="0.25">
      <c r="B67" s="230"/>
      <c r="C67" s="231"/>
      <c r="D67" s="231"/>
      <c r="E67" s="231"/>
      <c r="F67" s="231"/>
      <c r="G67" s="231"/>
      <c r="H67" s="231"/>
      <c r="I67" s="231"/>
      <c r="J67" s="232"/>
      <c r="K67" s="212"/>
      <c r="L67" s="230"/>
      <c r="M67" s="231"/>
      <c r="N67" s="231"/>
      <c r="O67" s="231"/>
      <c r="P67" s="231"/>
      <c r="Q67" s="231"/>
      <c r="R67" s="231"/>
      <c r="S67" s="231"/>
      <c r="T67" s="232"/>
      <c r="U67" s="212"/>
      <c r="V67" s="230"/>
      <c r="W67" s="231"/>
      <c r="X67" s="231"/>
      <c r="Y67" s="231"/>
      <c r="Z67" s="231"/>
      <c r="AA67" s="231"/>
      <c r="AB67" s="231"/>
      <c r="AC67" s="231"/>
      <c r="AD67" s="232"/>
      <c r="AE67" s="212"/>
      <c r="AF67" s="213"/>
      <c r="AG67" s="212"/>
      <c r="AH67" s="212"/>
      <c r="AI67" s="212"/>
      <c r="AJ67" s="212"/>
      <c r="AK67" s="212"/>
      <c r="AL67" s="212"/>
      <c r="AM67" s="212"/>
      <c r="AN67" s="214"/>
      <c r="AO67" s="212"/>
      <c r="AP67" s="213"/>
      <c r="AQ67" s="212"/>
      <c r="AR67" s="212"/>
      <c r="AS67" s="212"/>
      <c r="AT67" s="212"/>
      <c r="AU67" s="212"/>
      <c r="AV67" s="212"/>
      <c r="AW67" s="212"/>
      <c r="AX67" s="214"/>
      <c r="AY67" s="212"/>
      <c r="AZ67" s="223"/>
      <c r="BA67" s="224"/>
      <c r="BB67" s="224"/>
      <c r="BC67" s="224"/>
      <c r="BD67" s="224"/>
      <c r="BE67" s="224"/>
      <c r="BF67" s="224"/>
      <c r="BG67" s="224"/>
      <c r="BH67" s="225"/>
      <c r="BI67" s="231"/>
      <c r="BJ67" s="223"/>
      <c r="BK67" s="224"/>
      <c r="BL67" s="224"/>
      <c r="BM67" s="224"/>
      <c r="BN67" s="224"/>
      <c r="BO67" s="224"/>
      <c r="BP67" s="224"/>
      <c r="BQ67" s="224"/>
      <c r="BR67" s="225"/>
      <c r="BS67" s="215"/>
    </row>
    <row r="68" spans="2:80" s="211" customFormat="1" ht="9" customHeight="1" x14ac:dyDescent="0.25">
      <c r="B68" s="230"/>
      <c r="C68" s="231"/>
      <c r="D68" s="231"/>
      <c r="E68" s="231"/>
      <c r="F68" s="231"/>
      <c r="G68" s="231"/>
      <c r="H68" s="231"/>
      <c r="I68" s="231"/>
      <c r="J68" s="232"/>
      <c r="K68" s="212"/>
      <c r="L68" s="230"/>
      <c r="M68" s="231"/>
      <c r="N68" s="231"/>
      <c r="O68" s="231"/>
      <c r="P68" s="231"/>
      <c r="Q68" s="231"/>
      <c r="R68" s="231"/>
      <c r="S68" s="231"/>
      <c r="T68" s="232"/>
      <c r="U68" s="212"/>
      <c r="V68" s="230"/>
      <c r="W68" s="231"/>
      <c r="X68" s="231"/>
      <c r="Y68" s="231"/>
      <c r="Z68" s="231"/>
      <c r="AA68" s="231"/>
      <c r="AB68" s="231"/>
      <c r="AC68" s="231"/>
      <c r="AD68" s="232"/>
      <c r="AE68" s="212"/>
      <c r="AF68" s="213"/>
      <c r="AG68" s="212"/>
      <c r="AH68" s="212"/>
      <c r="AI68" s="212"/>
      <c r="AJ68" s="212"/>
      <c r="AK68" s="212"/>
      <c r="AL68" s="212"/>
      <c r="AM68" s="212"/>
      <c r="AN68" s="214"/>
      <c r="AO68" s="212"/>
      <c r="AP68" s="213"/>
      <c r="AQ68" s="212"/>
      <c r="AR68" s="212"/>
      <c r="AS68" s="212"/>
      <c r="AT68" s="212"/>
      <c r="AU68" s="212"/>
      <c r="AV68" s="212"/>
      <c r="AW68" s="212"/>
      <c r="AX68" s="214"/>
      <c r="AY68" s="212"/>
      <c r="AZ68" s="223"/>
      <c r="BA68" s="224"/>
      <c r="BB68" s="224"/>
      <c r="BC68" s="224"/>
      <c r="BD68" s="224"/>
      <c r="BE68" s="224"/>
      <c r="BF68" s="224"/>
      <c r="BG68" s="224"/>
      <c r="BH68" s="225"/>
      <c r="BI68" s="231"/>
      <c r="BJ68" s="223"/>
      <c r="BK68" s="224"/>
      <c r="BL68" s="224"/>
      <c r="BM68" s="224"/>
      <c r="BN68" s="224"/>
      <c r="BO68" s="224"/>
      <c r="BP68" s="224"/>
      <c r="BQ68" s="224"/>
      <c r="BR68" s="225"/>
      <c r="BS68" s="215"/>
    </row>
    <row r="69" spans="2:80" s="211" customFormat="1" ht="9" customHeight="1" x14ac:dyDescent="0.25">
      <c r="B69" s="230"/>
      <c r="C69" s="231"/>
      <c r="D69" s="231"/>
      <c r="E69" s="231"/>
      <c r="F69" s="231"/>
      <c r="G69" s="231"/>
      <c r="H69" s="231"/>
      <c r="I69" s="231"/>
      <c r="J69" s="232"/>
      <c r="K69" s="212"/>
      <c r="L69" s="230"/>
      <c r="M69" s="231"/>
      <c r="N69" s="231"/>
      <c r="O69" s="231"/>
      <c r="P69" s="231"/>
      <c r="Q69" s="231"/>
      <c r="R69" s="231"/>
      <c r="S69" s="231"/>
      <c r="T69" s="232"/>
      <c r="U69" s="212"/>
      <c r="V69" s="230"/>
      <c r="W69" s="231"/>
      <c r="X69" s="231"/>
      <c r="Y69" s="231"/>
      <c r="Z69" s="231"/>
      <c r="AA69" s="231"/>
      <c r="AB69" s="231"/>
      <c r="AC69" s="231"/>
      <c r="AD69" s="232"/>
      <c r="AE69" s="212"/>
      <c r="AF69" s="213"/>
      <c r="AG69" s="212"/>
      <c r="AH69" s="212"/>
      <c r="AI69" s="212"/>
      <c r="AJ69" s="212"/>
      <c r="AK69" s="212"/>
      <c r="AL69" s="212"/>
      <c r="AM69" s="212"/>
      <c r="AN69" s="214"/>
      <c r="AO69" s="212"/>
      <c r="AP69" s="213"/>
      <c r="AQ69" s="212"/>
      <c r="AR69" s="212"/>
      <c r="AS69" s="212"/>
      <c r="AT69" s="212"/>
      <c r="AU69" s="212"/>
      <c r="AV69" s="212"/>
      <c r="AW69" s="212"/>
      <c r="AX69" s="214"/>
      <c r="AY69" s="212"/>
      <c r="AZ69" s="223"/>
      <c r="BA69" s="224"/>
      <c r="BB69" s="224"/>
      <c r="BC69" s="224"/>
      <c r="BD69" s="224"/>
      <c r="BE69" s="224"/>
      <c r="BF69" s="224"/>
      <c r="BG69" s="224"/>
      <c r="BH69" s="225"/>
      <c r="BI69" s="231"/>
      <c r="BJ69" s="223"/>
      <c r="BK69" s="224"/>
      <c r="BL69" s="224"/>
      <c r="BM69" s="224"/>
      <c r="BN69" s="224"/>
      <c r="BO69" s="224"/>
      <c r="BP69" s="224"/>
      <c r="BQ69" s="224"/>
      <c r="BR69" s="225"/>
      <c r="BS69" s="215"/>
    </row>
    <row r="70" spans="2:80" s="235" customFormat="1" ht="9" customHeight="1" x14ac:dyDescent="0.25">
      <c r="B70" s="230"/>
      <c r="C70" s="231"/>
      <c r="D70" s="231"/>
      <c r="E70" s="231"/>
      <c r="F70" s="231"/>
      <c r="G70" s="231"/>
      <c r="H70" s="231"/>
      <c r="I70" s="231"/>
      <c r="J70" s="232"/>
      <c r="K70" s="231"/>
      <c r="L70" s="230"/>
      <c r="M70" s="231"/>
      <c r="N70" s="231"/>
      <c r="O70" s="231"/>
      <c r="P70" s="231"/>
      <c r="Q70" s="231"/>
      <c r="R70" s="231"/>
      <c r="S70" s="231"/>
      <c r="T70" s="232"/>
      <c r="U70" s="231"/>
      <c r="V70" s="230"/>
      <c r="W70" s="231"/>
      <c r="X70" s="231"/>
      <c r="Y70" s="231"/>
      <c r="Z70" s="231"/>
      <c r="AA70" s="231"/>
      <c r="AB70" s="231"/>
      <c r="AC70" s="231"/>
      <c r="AD70" s="232"/>
      <c r="AE70" s="231"/>
      <c r="AF70" s="230"/>
      <c r="AG70" s="231"/>
      <c r="AH70" s="231"/>
      <c r="AI70" s="231"/>
      <c r="AJ70" s="231"/>
      <c r="AK70" s="231"/>
      <c r="AL70" s="231"/>
      <c r="AM70" s="231"/>
      <c r="AN70" s="232"/>
      <c r="AO70" s="231"/>
      <c r="AP70" s="230"/>
      <c r="AQ70" s="231"/>
      <c r="AR70" s="231"/>
      <c r="AS70" s="231"/>
      <c r="AT70" s="231"/>
      <c r="AU70" s="231"/>
      <c r="AV70" s="231"/>
      <c r="AW70" s="231"/>
      <c r="AX70" s="232"/>
      <c r="AY70" s="231"/>
      <c r="AZ70" s="223"/>
      <c r="BA70" s="224"/>
      <c r="BB70" s="224"/>
      <c r="BC70" s="224"/>
      <c r="BD70" s="224"/>
      <c r="BE70" s="224"/>
      <c r="BF70" s="224"/>
      <c r="BG70" s="224"/>
      <c r="BH70" s="225"/>
      <c r="BI70" s="212"/>
      <c r="BJ70" s="223"/>
      <c r="BK70" s="224"/>
      <c r="BL70" s="224"/>
      <c r="BM70" s="224"/>
      <c r="BN70" s="224"/>
      <c r="BO70" s="224"/>
      <c r="BP70" s="224"/>
      <c r="BQ70" s="224"/>
      <c r="BR70" s="225"/>
      <c r="BS70" s="234"/>
    </row>
    <row r="71" spans="2:80" s="211" customFormat="1" ht="8.25" customHeight="1" x14ac:dyDescent="0.25">
      <c r="B71" s="213"/>
      <c r="C71" s="212"/>
      <c r="D71" s="212"/>
      <c r="E71" s="212"/>
      <c r="F71" s="212"/>
      <c r="G71" s="212"/>
      <c r="H71" s="212"/>
      <c r="I71" s="212"/>
      <c r="J71" s="214"/>
      <c r="K71" s="212"/>
      <c r="L71" s="213"/>
      <c r="M71" s="212"/>
      <c r="N71" s="212"/>
      <c r="O71" s="212"/>
      <c r="P71" s="212"/>
      <c r="Q71" s="212"/>
      <c r="R71" s="212"/>
      <c r="S71" s="212"/>
      <c r="T71" s="214"/>
      <c r="U71" s="212"/>
      <c r="V71" s="213"/>
      <c r="W71" s="212"/>
      <c r="X71" s="212"/>
      <c r="Y71" s="212"/>
      <c r="Z71" s="212"/>
      <c r="AA71" s="212"/>
      <c r="AB71" s="212"/>
      <c r="AC71" s="212"/>
      <c r="AD71" s="214"/>
      <c r="AE71" s="212"/>
      <c r="AF71" s="213"/>
      <c r="AG71" s="212"/>
      <c r="AH71" s="212"/>
      <c r="AI71" s="212"/>
      <c r="AJ71" s="212"/>
      <c r="AK71" s="212"/>
      <c r="AL71" s="212"/>
      <c r="AM71" s="212"/>
      <c r="AN71" s="214"/>
      <c r="AO71" s="212"/>
      <c r="AP71" s="213"/>
      <c r="AQ71" s="212"/>
      <c r="AR71" s="212"/>
      <c r="AS71" s="212"/>
      <c r="AT71" s="212"/>
      <c r="AU71" s="212"/>
      <c r="AV71" s="212"/>
      <c r="AW71" s="212"/>
      <c r="AX71" s="214"/>
      <c r="AY71" s="212"/>
      <c r="AZ71" s="223"/>
      <c r="BA71" s="224"/>
      <c r="BB71" s="224"/>
      <c r="BC71" s="224"/>
      <c r="BD71" s="224"/>
      <c r="BE71" s="224"/>
      <c r="BF71" s="224"/>
      <c r="BG71" s="224"/>
      <c r="BH71" s="225"/>
      <c r="BI71" s="231"/>
      <c r="BJ71" s="543" t="s">
        <v>531</v>
      </c>
      <c r="BK71" s="543"/>
      <c r="BL71" s="543"/>
      <c r="BM71" s="543"/>
      <c r="BN71" s="543"/>
      <c r="BO71" s="542">
        <f>CEILING(1184*B3,1)</f>
        <v>2250</v>
      </c>
      <c r="BP71" s="542"/>
      <c r="BQ71" s="542"/>
      <c r="BR71" s="542"/>
      <c r="BS71" s="215"/>
    </row>
    <row r="72" spans="2:80" s="211" customFormat="1" ht="9" customHeight="1" x14ac:dyDescent="0.25">
      <c r="B72" s="561" t="s">
        <v>520</v>
      </c>
      <c r="C72" s="562"/>
      <c r="D72" s="562"/>
      <c r="E72" s="562"/>
      <c r="F72" s="562"/>
      <c r="G72" s="562"/>
      <c r="H72" s="562"/>
      <c r="I72" s="562"/>
      <c r="J72" s="563"/>
      <c r="K72" s="212"/>
      <c r="L72" s="561" t="s">
        <v>520</v>
      </c>
      <c r="M72" s="562"/>
      <c r="N72" s="562"/>
      <c r="O72" s="562"/>
      <c r="P72" s="562"/>
      <c r="Q72" s="562"/>
      <c r="R72" s="562"/>
      <c r="S72" s="562"/>
      <c r="T72" s="563"/>
      <c r="U72" s="212"/>
      <c r="V72" s="561" t="s">
        <v>520</v>
      </c>
      <c r="W72" s="562"/>
      <c r="X72" s="562"/>
      <c r="Y72" s="562"/>
      <c r="Z72" s="562"/>
      <c r="AA72" s="562"/>
      <c r="AB72" s="562"/>
      <c r="AC72" s="562"/>
      <c r="AD72" s="563"/>
      <c r="AE72" s="212"/>
      <c r="AF72" s="543" t="s">
        <v>532</v>
      </c>
      <c r="AG72" s="543"/>
      <c r="AH72" s="543"/>
      <c r="AI72" s="543"/>
      <c r="AJ72" s="543"/>
      <c r="AK72" s="542">
        <f>CEILING(655*B3,1)</f>
        <v>1245</v>
      </c>
      <c r="AL72" s="542"/>
      <c r="AM72" s="542"/>
      <c r="AN72" s="542"/>
      <c r="AO72" s="200"/>
      <c r="AP72" s="543" t="s">
        <v>533</v>
      </c>
      <c r="AQ72" s="543"/>
      <c r="AR72" s="543"/>
      <c r="AS72" s="543"/>
      <c r="AT72" s="543"/>
      <c r="AU72" s="542">
        <f>CEILING(278*B3,1)</f>
        <v>529</v>
      </c>
      <c r="AV72" s="542"/>
      <c r="AW72" s="542"/>
      <c r="AX72" s="542"/>
      <c r="AY72" s="200"/>
      <c r="AZ72" s="543" t="s">
        <v>534</v>
      </c>
      <c r="BA72" s="543"/>
      <c r="BB72" s="543"/>
      <c r="BC72" s="543"/>
      <c r="BD72" s="543"/>
      <c r="BE72" s="542">
        <f>CEILING(329*B3,1)</f>
        <v>626</v>
      </c>
      <c r="BF72" s="542"/>
      <c r="BG72" s="542"/>
      <c r="BH72" s="542"/>
      <c r="BI72" s="237"/>
      <c r="BJ72" s="543" t="s">
        <v>535</v>
      </c>
      <c r="BK72" s="543"/>
      <c r="BL72" s="543"/>
      <c r="BM72" s="543"/>
      <c r="BN72" s="543"/>
      <c r="BO72" s="542">
        <f>CEILING(1698*B3,1)</f>
        <v>3227</v>
      </c>
      <c r="BP72" s="542"/>
      <c r="BQ72" s="542"/>
      <c r="BR72" s="542"/>
      <c r="BS72" s="215"/>
    </row>
    <row r="73" spans="2:80" s="211" customFormat="1" ht="9" customHeight="1" x14ac:dyDescent="0.25">
      <c r="B73" s="543" t="s">
        <v>521</v>
      </c>
      <c r="C73" s="543"/>
      <c r="D73" s="543"/>
      <c r="E73" s="543"/>
      <c r="F73" s="543"/>
      <c r="G73" s="542">
        <f>CEILING(2985*B3,1)</f>
        <v>5672</v>
      </c>
      <c r="H73" s="542"/>
      <c r="I73" s="542"/>
      <c r="J73" s="542"/>
      <c r="K73" s="200"/>
      <c r="L73" s="543" t="s">
        <v>521</v>
      </c>
      <c r="M73" s="543"/>
      <c r="N73" s="543"/>
      <c r="O73" s="543"/>
      <c r="P73" s="543"/>
      <c r="Q73" s="542">
        <f>CEILING(3186*B3,1)</f>
        <v>6054</v>
      </c>
      <c r="R73" s="542"/>
      <c r="S73" s="542"/>
      <c r="T73" s="542"/>
      <c r="U73" s="200"/>
      <c r="V73" s="543" t="s">
        <v>521</v>
      </c>
      <c r="W73" s="543"/>
      <c r="X73" s="543"/>
      <c r="Y73" s="543"/>
      <c r="Z73" s="543"/>
      <c r="AA73" s="542">
        <f>CEILING(3390*B3,1)</f>
        <v>6441</v>
      </c>
      <c r="AB73" s="542"/>
      <c r="AC73" s="542"/>
      <c r="AD73" s="542"/>
      <c r="AE73" s="201"/>
      <c r="AF73" s="543" t="s">
        <v>536</v>
      </c>
      <c r="AG73" s="543"/>
      <c r="AH73" s="543"/>
      <c r="AI73" s="543"/>
      <c r="AJ73" s="543"/>
      <c r="AK73" s="542">
        <f>CEILING(940*B3,1)</f>
        <v>1786</v>
      </c>
      <c r="AL73" s="542"/>
      <c r="AM73" s="542"/>
      <c r="AN73" s="542"/>
      <c r="AO73" s="200"/>
      <c r="AP73" s="543" t="s">
        <v>537</v>
      </c>
      <c r="AQ73" s="543"/>
      <c r="AR73" s="543"/>
      <c r="AS73" s="543"/>
      <c r="AT73" s="543"/>
      <c r="AU73" s="542">
        <f>CEILING(303*B3,1)</f>
        <v>576</v>
      </c>
      <c r="AV73" s="542"/>
      <c r="AW73" s="542"/>
      <c r="AX73" s="542"/>
      <c r="AY73" s="200"/>
      <c r="AZ73" s="543" t="s">
        <v>538</v>
      </c>
      <c r="BA73" s="543"/>
      <c r="BB73" s="543"/>
      <c r="BC73" s="543"/>
      <c r="BD73" s="543"/>
      <c r="BE73" s="542">
        <f>CEILING(399*B3,1)</f>
        <v>759</v>
      </c>
      <c r="BF73" s="542"/>
      <c r="BG73" s="542"/>
      <c r="BH73" s="542"/>
      <c r="BI73" s="201"/>
      <c r="BJ73" s="543" t="s">
        <v>539</v>
      </c>
      <c r="BK73" s="543"/>
      <c r="BL73" s="543"/>
      <c r="BM73" s="543"/>
      <c r="BN73" s="543"/>
      <c r="BO73" s="542">
        <f>CEILING(2254*B3,1)</f>
        <v>4283</v>
      </c>
      <c r="BP73" s="542"/>
      <c r="BQ73" s="542"/>
      <c r="BR73" s="542"/>
      <c r="BS73" s="215"/>
    </row>
    <row r="74" spans="2:80" s="211" customFormat="1" ht="1.5" customHeight="1" x14ac:dyDescent="0.25">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5"/>
    </row>
    <row r="75" spans="2:80" s="211" customFormat="1" ht="9" customHeight="1" x14ac:dyDescent="0.25">
      <c r="B75" s="556" t="s">
        <v>540</v>
      </c>
      <c r="C75" s="557"/>
      <c r="D75" s="558"/>
      <c r="E75" s="554" t="s">
        <v>541</v>
      </c>
      <c r="F75" s="554"/>
      <c r="G75" s="554"/>
      <c r="H75" s="554"/>
      <c r="I75" s="554"/>
      <c r="J75" s="555"/>
      <c r="K75" s="212"/>
      <c r="L75" s="556" t="s">
        <v>542</v>
      </c>
      <c r="M75" s="557"/>
      <c r="N75" s="558"/>
      <c r="O75" s="554" t="s">
        <v>543</v>
      </c>
      <c r="P75" s="554"/>
      <c r="Q75" s="554"/>
      <c r="R75" s="554"/>
      <c r="S75" s="554"/>
      <c r="T75" s="555"/>
      <c r="U75" s="212"/>
      <c r="V75" s="556" t="s">
        <v>544</v>
      </c>
      <c r="W75" s="557"/>
      <c r="X75" s="558"/>
      <c r="Y75" s="554" t="s">
        <v>545</v>
      </c>
      <c r="Z75" s="554"/>
      <c r="AA75" s="554"/>
      <c r="AB75" s="554"/>
      <c r="AC75" s="554"/>
      <c r="AD75" s="555"/>
      <c r="AE75" s="212"/>
      <c r="AF75" s="556" t="s">
        <v>546</v>
      </c>
      <c r="AG75" s="557"/>
      <c r="AH75" s="558"/>
      <c r="AI75" s="554" t="s">
        <v>547</v>
      </c>
      <c r="AJ75" s="554"/>
      <c r="AK75" s="554"/>
      <c r="AL75" s="554"/>
      <c r="AM75" s="554"/>
      <c r="AN75" s="555"/>
      <c r="AO75" s="212"/>
      <c r="AP75" s="564" t="s">
        <v>548</v>
      </c>
      <c r="AQ75" s="565"/>
      <c r="AR75" s="566"/>
      <c r="AS75" s="554" t="s">
        <v>545</v>
      </c>
      <c r="AT75" s="554"/>
      <c r="AU75" s="554"/>
      <c r="AV75" s="554"/>
      <c r="AW75" s="554"/>
      <c r="AX75" s="555"/>
      <c r="AY75" s="212"/>
      <c r="AZ75" s="556" t="s">
        <v>549</v>
      </c>
      <c r="BA75" s="557"/>
      <c r="BB75" s="558"/>
      <c r="BC75" s="559" t="s">
        <v>550</v>
      </c>
      <c r="BD75" s="559"/>
      <c r="BE75" s="559"/>
      <c r="BF75" s="559"/>
      <c r="BG75" s="559"/>
      <c r="BH75" s="560"/>
      <c r="BI75" s="231"/>
      <c r="BJ75" s="556" t="s">
        <v>551</v>
      </c>
      <c r="BK75" s="557"/>
      <c r="BL75" s="558"/>
      <c r="BM75" s="559" t="s">
        <v>550</v>
      </c>
      <c r="BN75" s="559"/>
      <c r="BO75" s="559"/>
      <c r="BP75" s="559"/>
      <c r="BQ75" s="559"/>
      <c r="BR75" s="560"/>
      <c r="BS75" s="215"/>
      <c r="BT75" s="545"/>
      <c r="BU75" s="545"/>
      <c r="BV75" s="545"/>
      <c r="BW75" s="545"/>
      <c r="BX75" s="545"/>
      <c r="BY75" s="545"/>
      <c r="BZ75" s="545"/>
      <c r="CA75" s="545"/>
      <c r="CB75" s="545"/>
    </row>
    <row r="76" spans="2:80" s="211" customFormat="1" ht="9" customHeight="1" x14ac:dyDescent="0.25">
      <c r="B76" s="223"/>
      <c r="C76" s="224"/>
      <c r="D76" s="224"/>
      <c r="E76" s="224"/>
      <c r="F76" s="224"/>
      <c r="G76" s="224"/>
      <c r="H76" s="224"/>
      <c r="I76" s="224"/>
      <c r="J76" s="225"/>
      <c r="K76" s="212"/>
      <c r="L76" s="223"/>
      <c r="M76" s="224"/>
      <c r="N76" s="224"/>
      <c r="O76" s="224"/>
      <c r="P76" s="224"/>
      <c r="Q76" s="224"/>
      <c r="R76" s="224"/>
      <c r="S76" s="224"/>
      <c r="T76" s="225"/>
      <c r="U76" s="212"/>
      <c r="V76" s="546" t="s">
        <v>552</v>
      </c>
      <c r="W76" s="547"/>
      <c r="X76" s="547"/>
      <c r="Y76" s="547"/>
      <c r="Z76" s="547"/>
      <c r="AA76" s="547"/>
      <c r="AB76" s="547"/>
      <c r="AC76" s="547"/>
      <c r="AD76" s="548"/>
      <c r="AE76" s="212"/>
      <c r="AF76" s="546" t="s">
        <v>552</v>
      </c>
      <c r="AG76" s="547"/>
      <c r="AH76" s="547"/>
      <c r="AI76" s="547"/>
      <c r="AJ76" s="547"/>
      <c r="AK76" s="547"/>
      <c r="AL76" s="547"/>
      <c r="AM76" s="547"/>
      <c r="AN76" s="548"/>
      <c r="AO76" s="212"/>
      <c r="AP76" s="549" t="s">
        <v>553</v>
      </c>
      <c r="AQ76" s="551" t="s">
        <v>554</v>
      </c>
      <c r="AR76" s="547" t="s">
        <v>555</v>
      </c>
      <c r="AS76" s="547"/>
      <c r="AT76" s="547"/>
      <c r="AU76" s="547"/>
      <c r="AV76" s="547"/>
      <c r="AW76" s="547"/>
      <c r="AX76" s="548"/>
      <c r="AY76" s="212"/>
      <c r="AZ76" s="546" t="s">
        <v>556</v>
      </c>
      <c r="BA76" s="547"/>
      <c r="BB76" s="547"/>
      <c r="BC76" s="547"/>
      <c r="BD76" s="547"/>
      <c r="BE76" s="547"/>
      <c r="BF76" s="547"/>
      <c r="BG76" s="547"/>
      <c r="BH76" s="548"/>
      <c r="BI76" s="232"/>
      <c r="BJ76" s="547" t="s">
        <v>557</v>
      </c>
      <c r="BK76" s="547"/>
      <c r="BL76" s="547"/>
      <c r="BM76" s="547"/>
      <c r="BN76" s="547"/>
      <c r="BO76" s="547"/>
      <c r="BP76" s="547"/>
      <c r="BQ76" s="547"/>
      <c r="BR76" s="548"/>
      <c r="BS76" s="215"/>
      <c r="BT76" s="238"/>
      <c r="BU76" s="238"/>
      <c r="BV76" s="238"/>
      <c r="BW76" s="238"/>
      <c r="BX76" s="238"/>
      <c r="BY76" s="238"/>
      <c r="BZ76" s="238"/>
      <c r="CA76" s="238"/>
      <c r="CB76" s="238"/>
    </row>
    <row r="77" spans="2:80" s="211" customFormat="1" ht="9" customHeight="1" x14ac:dyDescent="0.25">
      <c r="B77" s="213"/>
      <c r="C77" s="212"/>
      <c r="D77" s="212"/>
      <c r="E77" s="212"/>
      <c r="F77" s="212"/>
      <c r="G77" s="212"/>
      <c r="H77" s="212"/>
      <c r="I77" s="212"/>
      <c r="J77" s="214"/>
      <c r="K77" s="212"/>
      <c r="L77" s="213"/>
      <c r="M77" s="212"/>
      <c r="N77" s="212"/>
      <c r="O77" s="212"/>
      <c r="P77" s="212"/>
      <c r="Q77" s="212"/>
      <c r="R77" s="212"/>
      <c r="S77" s="212"/>
      <c r="T77" s="214"/>
      <c r="U77" s="212"/>
      <c r="V77" s="213"/>
      <c r="W77" s="212"/>
      <c r="X77" s="212"/>
      <c r="Y77" s="212"/>
      <c r="Z77" s="212"/>
      <c r="AA77" s="212"/>
      <c r="AB77" s="212"/>
      <c r="AC77" s="212"/>
      <c r="AD77" s="214"/>
      <c r="AE77" s="212"/>
      <c r="AF77" s="213"/>
      <c r="AG77" s="212"/>
      <c r="AH77" s="212"/>
      <c r="AI77" s="212"/>
      <c r="AJ77" s="212"/>
      <c r="AK77" s="212"/>
      <c r="AL77" s="212"/>
      <c r="AM77" s="212"/>
      <c r="AN77" s="214"/>
      <c r="AO77" s="212"/>
      <c r="AP77" s="550"/>
      <c r="AQ77" s="552"/>
      <c r="AR77" s="212"/>
      <c r="AS77" s="212"/>
      <c r="AT77" s="212"/>
      <c r="AU77" s="212"/>
      <c r="AV77" s="212"/>
      <c r="AW77" s="212"/>
      <c r="AX77" s="214"/>
      <c r="AY77" s="212"/>
      <c r="AZ77" s="553" t="s">
        <v>558</v>
      </c>
      <c r="BA77" s="224"/>
      <c r="BB77" s="224"/>
      <c r="BC77" s="218"/>
      <c r="BD77" s="218"/>
      <c r="BE77" s="218"/>
      <c r="BF77" s="218"/>
      <c r="BG77" s="218"/>
      <c r="BH77" s="219"/>
      <c r="BI77" s="232"/>
      <c r="BJ77" s="553" t="s">
        <v>558</v>
      </c>
      <c r="BK77" s="224"/>
      <c r="BL77" s="224"/>
      <c r="BM77" s="218"/>
      <c r="BN77" s="218"/>
      <c r="BO77" s="218"/>
      <c r="BP77" s="218"/>
      <c r="BQ77" s="218"/>
      <c r="BR77" s="219"/>
      <c r="BS77" s="215"/>
      <c r="BT77" s="238"/>
      <c r="BU77" s="238"/>
      <c r="BV77" s="238"/>
      <c r="BW77" s="216"/>
      <c r="BX77" s="216"/>
      <c r="BY77" s="216"/>
      <c r="BZ77" s="216"/>
      <c r="CA77" s="216"/>
      <c r="CB77" s="216"/>
    </row>
    <row r="78" spans="2:80" s="211" customFormat="1" ht="9" customHeight="1" x14ac:dyDescent="0.25">
      <c r="B78" s="213"/>
      <c r="C78" s="212"/>
      <c r="D78" s="212"/>
      <c r="E78" s="212"/>
      <c r="F78" s="212"/>
      <c r="G78" s="212"/>
      <c r="H78" s="212"/>
      <c r="I78" s="212"/>
      <c r="J78" s="214"/>
      <c r="K78" s="212"/>
      <c r="L78" s="213"/>
      <c r="M78" s="212"/>
      <c r="N78" s="212"/>
      <c r="O78" s="212"/>
      <c r="P78" s="212"/>
      <c r="Q78" s="212"/>
      <c r="R78" s="212"/>
      <c r="S78" s="212"/>
      <c r="T78" s="214"/>
      <c r="U78" s="212"/>
      <c r="V78" s="213"/>
      <c r="W78" s="212"/>
      <c r="X78" s="212"/>
      <c r="Y78" s="212"/>
      <c r="Z78" s="212"/>
      <c r="AA78" s="212"/>
      <c r="AB78" s="212"/>
      <c r="AC78" s="212"/>
      <c r="AD78" s="214"/>
      <c r="AE78" s="212"/>
      <c r="AF78" s="213"/>
      <c r="AG78" s="212"/>
      <c r="AH78" s="212"/>
      <c r="AI78" s="212"/>
      <c r="AJ78" s="212"/>
      <c r="AK78" s="212"/>
      <c r="AL78" s="212"/>
      <c r="AM78" s="212"/>
      <c r="AN78" s="214"/>
      <c r="AO78" s="212"/>
      <c r="AP78" s="550"/>
      <c r="AQ78" s="552"/>
      <c r="AR78" s="212"/>
      <c r="AS78" s="212"/>
      <c r="AT78" s="212"/>
      <c r="AU78" s="212"/>
      <c r="AV78" s="212"/>
      <c r="AW78" s="212"/>
      <c r="AX78" s="214"/>
      <c r="AY78" s="212"/>
      <c r="AZ78" s="553"/>
      <c r="BA78" s="224"/>
      <c r="BB78" s="224"/>
      <c r="BC78" s="218"/>
      <c r="BD78" s="218"/>
      <c r="BE78" s="218"/>
      <c r="BF78" s="218"/>
      <c r="BG78" s="218"/>
      <c r="BH78" s="219"/>
      <c r="BI78" s="232"/>
      <c r="BJ78" s="553"/>
      <c r="BK78" s="224"/>
      <c r="BL78" s="224"/>
      <c r="BM78" s="218"/>
      <c r="BN78" s="218"/>
      <c r="BO78" s="218"/>
      <c r="BP78" s="218"/>
      <c r="BQ78" s="218"/>
      <c r="BR78" s="219"/>
      <c r="BS78" s="215"/>
      <c r="BT78" s="238"/>
      <c r="BU78" s="238"/>
      <c r="BV78" s="238"/>
      <c r="BW78" s="216"/>
      <c r="BX78" s="216"/>
      <c r="BY78" s="216"/>
      <c r="BZ78" s="216"/>
      <c r="CA78" s="216"/>
      <c r="CB78" s="216"/>
    </row>
    <row r="79" spans="2:80" s="211" customFormat="1" ht="9" customHeight="1" x14ac:dyDescent="0.25">
      <c r="B79" s="213"/>
      <c r="C79" s="212"/>
      <c r="D79" s="212"/>
      <c r="E79" s="212"/>
      <c r="F79" s="212"/>
      <c r="G79" s="212"/>
      <c r="H79" s="212"/>
      <c r="I79" s="212"/>
      <c r="J79" s="214"/>
      <c r="K79" s="212"/>
      <c r="L79" s="213"/>
      <c r="M79" s="212"/>
      <c r="N79" s="212"/>
      <c r="O79" s="212"/>
      <c r="P79" s="212"/>
      <c r="Q79" s="212"/>
      <c r="R79" s="212"/>
      <c r="S79" s="212"/>
      <c r="T79" s="214"/>
      <c r="U79" s="212"/>
      <c r="V79" s="213"/>
      <c r="W79" s="212"/>
      <c r="X79" s="212"/>
      <c r="Y79" s="212"/>
      <c r="Z79" s="212"/>
      <c r="AA79" s="212"/>
      <c r="AB79" s="212"/>
      <c r="AC79" s="212"/>
      <c r="AD79" s="214"/>
      <c r="AE79" s="212"/>
      <c r="AF79" s="213"/>
      <c r="AG79" s="212"/>
      <c r="AH79" s="212"/>
      <c r="AI79" s="212"/>
      <c r="AJ79" s="212"/>
      <c r="AK79" s="212"/>
      <c r="AL79" s="212"/>
      <c r="AM79" s="212"/>
      <c r="AN79" s="214"/>
      <c r="AO79" s="212"/>
      <c r="AP79" s="550"/>
      <c r="AQ79" s="552"/>
      <c r="AR79" s="212"/>
      <c r="AS79" s="212"/>
      <c r="AT79" s="212"/>
      <c r="AU79" s="212"/>
      <c r="AV79" s="212"/>
      <c r="AW79" s="212"/>
      <c r="AX79" s="214"/>
      <c r="AY79" s="212"/>
      <c r="AZ79" s="553"/>
      <c r="BA79" s="224"/>
      <c r="BB79" s="224"/>
      <c r="BC79" s="218"/>
      <c r="BD79" s="218"/>
      <c r="BE79" s="218"/>
      <c r="BF79" s="218"/>
      <c r="BG79" s="218"/>
      <c r="BH79" s="219"/>
      <c r="BI79" s="232"/>
      <c r="BJ79" s="553"/>
      <c r="BK79" s="224"/>
      <c r="BL79" s="224"/>
      <c r="BM79" s="218"/>
      <c r="BN79" s="218"/>
      <c r="BO79" s="218"/>
      <c r="BP79" s="218"/>
      <c r="BQ79" s="218"/>
      <c r="BR79" s="219"/>
      <c r="BS79" s="215"/>
      <c r="BT79" s="238"/>
      <c r="BU79" s="238"/>
      <c r="BV79" s="238"/>
      <c r="BW79" s="216"/>
      <c r="BX79" s="216"/>
      <c r="BY79" s="216"/>
      <c r="BZ79" s="216"/>
      <c r="CA79" s="216"/>
      <c r="CB79" s="216"/>
    </row>
    <row r="80" spans="2:80" s="211" customFormat="1" ht="9" customHeight="1" x14ac:dyDescent="0.25">
      <c r="B80" s="213"/>
      <c r="C80" s="212"/>
      <c r="D80" s="212"/>
      <c r="E80" s="212"/>
      <c r="F80" s="212"/>
      <c r="G80" s="212"/>
      <c r="H80" s="212"/>
      <c r="I80" s="212"/>
      <c r="J80" s="214"/>
      <c r="K80" s="212"/>
      <c r="L80" s="213"/>
      <c r="M80" s="212"/>
      <c r="N80" s="212"/>
      <c r="O80" s="212"/>
      <c r="P80" s="212"/>
      <c r="Q80" s="212"/>
      <c r="R80" s="212"/>
      <c r="S80" s="212"/>
      <c r="T80" s="214"/>
      <c r="U80" s="212"/>
      <c r="V80" s="213"/>
      <c r="W80" s="212"/>
      <c r="X80" s="212"/>
      <c r="Y80" s="212"/>
      <c r="Z80" s="212"/>
      <c r="AA80" s="212"/>
      <c r="AB80" s="212"/>
      <c r="AC80" s="212"/>
      <c r="AD80" s="214"/>
      <c r="AE80" s="212"/>
      <c r="AF80" s="213"/>
      <c r="AG80" s="212"/>
      <c r="AH80" s="212"/>
      <c r="AI80" s="212"/>
      <c r="AJ80" s="212"/>
      <c r="AK80" s="212"/>
      <c r="AL80" s="212"/>
      <c r="AM80" s="212"/>
      <c r="AN80" s="214"/>
      <c r="AO80" s="212"/>
      <c r="AP80" s="550"/>
      <c r="AQ80" s="552"/>
      <c r="AR80" s="212"/>
      <c r="AS80" s="212"/>
      <c r="AT80" s="212"/>
      <c r="AU80" s="212"/>
      <c r="AV80" s="212"/>
      <c r="AW80" s="212"/>
      <c r="AX80" s="214"/>
      <c r="AY80" s="212"/>
      <c r="AZ80" s="553"/>
      <c r="BA80" s="224"/>
      <c r="BB80" s="224"/>
      <c r="BC80" s="218"/>
      <c r="BD80" s="218"/>
      <c r="BE80" s="218"/>
      <c r="BF80" s="218"/>
      <c r="BG80" s="218"/>
      <c r="BH80" s="219"/>
      <c r="BI80" s="232"/>
      <c r="BJ80" s="553"/>
      <c r="BK80" s="224"/>
      <c r="BL80" s="224"/>
      <c r="BM80" s="218"/>
      <c r="BN80" s="218"/>
      <c r="BO80" s="218"/>
      <c r="BP80" s="218"/>
      <c r="BQ80" s="218"/>
      <c r="BR80" s="219"/>
      <c r="BS80" s="215"/>
      <c r="BT80" s="238"/>
      <c r="BU80" s="238"/>
      <c r="BV80" s="238"/>
      <c r="BW80" s="216"/>
      <c r="BX80" s="216"/>
      <c r="BY80" s="216"/>
      <c r="BZ80" s="216"/>
      <c r="CA80" s="216"/>
      <c r="CB80" s="216"/>
    </row>
    <row r="81" spans="2:80" s="211" customFormat="1" ht="9" customHeight="1" x14ac:dyDescent="0.25">
      <c r="B81" s="213"/>
      <c r="C81" s="212"/>
      <c r="D81" s="212"/>
      <c r="E81" s="212"/>
      <c r="F81" s="212"/>
      <c r="G81" s="212"/>
      <c r="H81" s="212"/>
      <c r="I81" s="212"/>
      <c r="J81" s="214"/>
      <c r="K81" s="212"/>
      <c r="L81" s="213"/>
      <c r="M81" s="212"/>
      <c r="N81" s="212"/>
      <c r="O81" s="212"/>
      <c r="P81" s="212"/>
      <c r="Q81" s="212"/>
      <c r="R81" s="212"/>
      <c r="S81" s="212"/>
      <c r="T81" s="214"/>
      <c r="U81" s="212"/>
      <c r="V81" s="213"/>
      <c r="W81" s="212"/>
      <c r="X81" s="212"/>
      <c r="Y81" s="212"/>
      <c r="Z81" s="212"/>
      <c r="AA81" s="212"/>
      <c r="AB81" s="212"/>
      <c r="AC81" s="212"/>
      <c r="AD81" s="214"/>
      <c r="AE81" s="212"/>
      <c r="AF81" s="213"/>
      <c r="AG81" s="212"/>
      <c r="AH81" s="212"/>
      <c r="AI81" s="212"/>
      <c r="AJ81" s="212"/>
      <c r="AK81" s="212"/>
      <c r="AL81" s="212"/>
      <c r="AM81" s="212"/>
      <c r="AN81" s="214"/>
      <c r="AO81" s="212"/>
      <c r="AP81" s="550"/>
      <c r="AQ81" s="552"/>
      <c r="AR81" s="212"/>
      <c r="AS81" s="212"/>
      <c r="AT81" s="212"/>
      <c r="AU81" s="212"/>
      <c r="AV81" s="212"/>
      <c r="AW81" s="212"/>
      <c r="AX81" s="214"/>
      <c r="AY81" s="212"/>
      <c r="AZ81" s="553"/>
      <c r="BA81" s="224"/>
      <c r="BB81" s="224"/>
      <c r="BC81" s="218"/>
      <c r="BD81" s="218"/>
      <c r="BE81" s="218"/>
      <c r="BF81" s="218"/>
      <c r="BG81" s="218"/>
      <c r="BH81" s="219"/>
      <c r="BI81" s="232"/>
      <c r="BJ81" s="553"/>
      <c r="BK81" s="224"/>
      <c r="BL81" s="224"/>
      <c r="BM81" s="218"/>
      <c r="BN81" s="218"/>
      <c r="BO81" s="218"/>
      <c r="BP81" s="218"/>
      <c r="BQ81" s="218"/>
      <c r="BR81" s="219"/>
      <c r="BS81" s="215"/>
      <c r="BT81" s="238"/>
      <c r="BU81" s="238"/>
      <c r="BV81" s="238"/>
      <c r="BW81" s="216"/>
      <c r="BX81" s="216"/>
      <c r="BY81" s="216"/>
      <c r="BZ81" s="216"/>
      <c r="CA81" s="216"/>
      <c r="CB81" s="216"/>
    </row>
    <row r="82" spans="2:80" s="211" customFormat="1" ht="9" customHeight="1" x14ac:dyDescent="0.25">
      <c r="B82" s="213"/>
      <c r="C82" s="212"/>
      <c r="D82" s="212"/>
      <c r="E82" s="212"/>
      <c r="F82" s="212"/>
      <c r="G82" s="212"/>
      <c r="H82" s="212"/>
      <c r="I82" s="212"/>
      <c r="J82" s="214"/>
      <c r="K82" s="212"/>
      <c r="L82" s="213"/>
      <c r="M82" s="212"/>
      <c r="N82" s="212"/>
      <c r="O82" s="212"/>
      <c r="P82" s="212"/>
      <c r="Q82" s="212"/>
      <c r="R82" s="212"/>
      <c r="S82" s="212"/>
      <c r="T82" s="214"/>
      <c r="U82" s="212"/>
      <c r="V82" s="213"/>
      <c r="W82" s="212"/>
      <c r="X82" s="212"/>
      <c r="Y82" s="212"/>
      <c r="Z82" s="212"/>
      <c r="AA82" s="212"/>
      <c r="AB82" s="212"/>
      <c r="AC82" s="212"/>
      <c r="AD82" s="214"/>
      <c r="AE82" s="212"/>
      <c r="AF82" s="213"/>
      <c r="AG82" s="212"/>
      <c r="AH82" s="212"/>
      <c r="AI82" s="212"/>
      <c r="AJ82" s="212"/>
      <c r="AK82" s="212"/>
      <c r="AL82" s="212"/>
      <c r="AM82" s="212"/>
      <c r="AN82" s="214"/>
      <c r="AO82" s="212"/>
      <c r="AP82" s="550"/>
      <c r="AQ82" s="552"/>
      <c r="AR82" s="212"/>
      <c r="AS82" s="212"/>
      <c r="AT82" s="212"/>
      <c r="AU82" s="212"/>
      <c r="AV82" s="212"/>
      <c r="AW82" s="212"/>
      <c r="AX82" s="214"/>
      <c r="AY82" s="212"/>
      <c r="AZ82" s="553"/>
      <c r="BA82" s="218"/>
      <c r="BB82" s="218"/>
      <c r="BC82" s="218"/>
      <c r="BD82" s="218"/>
      <c r="BE82" s="218"/>
      <c r="BF82" s="218"/>
      <c r="BG82" s="218"/>
      <c r="BH82" s="219"/>
      <c r="BI82" s="232"/>
      <c r="BJ82" s="553"/>
      <c r="BK82" s="218"/>
      <c r="BL82" s="218"/>
      <c r="BM82" s="218"/>
      <c r="BN82" s="218"/>
      <c r="BO82" s="218"/>
      <c r="BP82" s="218"/>
      <c r="BQ82" s="218"/>
      <c r="BR82" s="219"/>
      <c r="BS82" s="215"/>
      <c r="BT82" s="238"/>
      <c r="BU82" s="238"/>
      <c r="BV82" s="238"/>
      <c r="BW82" s="238"/>
      <c r="BX82" s="238"/>
      <c r="BY82" s="238"/>
      <c r="BZ82" s="238"/>
      <c r="CA82" s="238"/>
      <c r="CB82" s="238"/>
    </row>
    <row r="83" spans="2:80" s="211" customFormat="1" ht="9" customHeight="1" x14ac:dyDescent="0.25">
      <c r="B83" s="213"/>
      <c r="C83" s="212"/>
      <c r="D83" s="212"/>
      <c r="E83" s="212"/>
      <c r="F83" s="212"/>
      <c r="G83" s="212"/>
      <c r="H83" s="212"/>
      <c r="I83" s="212"/>
      <c r="J83" s="214"/>
      <c r="K83" s="212"/>
      <c r="L83" s="213"/>
      <c r="M83" s="212"/>
      <c r="N83" s="212"/>
      <c r="O83" s="212"/>
      <c r="P83" s="212"/>
      <c r="Q83" s="212"/>
      <c r="R83" s="212"/>
      <c r="S83" s="212"/>
      <c r="T83" s="214"/>
      <c r="U83" s="212"/>
      <c r="V83" s="213"/>
      <c r="W83" s="212"/>
      <c r="X83" s="212"/>
      <c r="Y83" s="212"/>
      <c r="Z83" s="212"/>
      <c r="AA83" s="212"/>
      <c r="AB83" s="212"/>
      <c r="AC83" s="212"/>
      <c r="AD83" s="214"/>
      <c r="AE83" s="212"/>
      <c r="AF83" s="213"/>
      <c r="AG83" s="212"/>
      <c r="AH83" s="212"/>
      <c r="AI83" s="212"/>
      <c r="AJ83" s="212"/>
      <c r="AK83" s="212"/>
      <c r="AL83" s="212"/>
      <c r="AM83" s="212"/>
      <c r="AN83" s="214"/>
      <c r="AO83" s="212"/>
      <c r="AP83" s="550"/>
      <c r="AQ83" s="552"/>
      <c r="AR83" s="212"/>
      <c r="AS83" s="212"/>
      <c r="AT83" s="212"/>
      <c r="AU83" s="212"/>
      <c r="AV83" s="212"/>
      <c r="AW83" s="212"/>
      <c r="AX83" s="214"/>
      <c r="AY83" s="212"/>
      <c r="AZ83" s="553"/>
      <c r="BA83" s="224"/>
      <c r="BB83" s="224"/>
      <c r="BC83" s="224"/>
      <c r="BD83" s="224"/>
      <c r="BE83" s="224"/>
      <c r="BF83" s="224"/>
      <c r="BG83" s="224"/>
      <c r="BH83" s="225"/>
      <c r="BI83" s="232"/>
      <c r="BJ83" s="553"/>
      <c r="BK83" s="224"/>
      <c r="BL83" s="224"/>
      <c r="BM83" s="224"/>
      <c r="BN83" s="224"/>
      <c r="BO83" s="224"/>
      <c r="BP83" s="224"/>
      <c r="BQ83" s="224"/>
      <c r="BR83" s="225"/>
      <c r="BS83" s="215"/>
      <c r="BT83" s="544"/>
      <c r="BU83" s="544"/>
      <c r="BV83" s="544"/>
      <c r="BW83" s="544"/>
      <c r="BX83" s="544"/>
      <c r="BY83" s="545"/>
      <c r="BZ83" s="545"/>
      <c r="CA83" s="545"/>
      <c r="CB83" s="545"/>
    </row>
    <row r="84" spans="2:80" s="211" customFormat="1" ht="9" customHeight="1" x14ac:dyDescent="0.25">
      <c r="B84" s="213"/>
      <c r="C84" s="212"/>
      <c r="D84" s="212"/>
      <c r="E84" s="212"/>
      <c r="F84" s="212"/>
      <c r="G84" s="212"/>
      <c r="H84" s="212"/>
      <c r="I84" s="212"/>
      <c r="J84" s="214"/>
      <c r="K84" s="212"/>
      <c r="L84" s="213"/>
      <c r="M84" s="212"/>
      <c r="N84" s="212"/>
      <c r="O84" s="212"/>
      <c r="P84" s="212"/>
      <c r="Q84" s="212"/>
      <c r="R84" s="212"/>
      <c r="S84" s="212"/>
      <c r="T84" s="214"/>
      <c r="U84" s="212"/>
      <c r="V84" s="213"/>
      <c r="W84" s="212"/>
      <c r="X84" s="212"/>
      <c r="Y84" s="212"/>
      <c r="Z84" s="212"/>
      <c r="AA84" s="212"/>
      <c r="AB84" s="212"/>
      <c r="AC84" s="212"/>
      <c r="AD84" s="214"/>
      <c r="AE84" s="212"/>
      <c r="AF84" s="213"/>
      <c r="AG84" s="212"/>
      <c r="AH84" s="212"/>
      <c r="AI84" s="212"/>
      <c r="AJ84" s="212"/>
      <c r="AK84" s="212"/>
      <c r="AL84" s="212"/>
      <c r="AM84" s="212"/>
      <c r="AN84" s="214"/>
      <c r="AO84" s="212"/>
      <c r="AP84" s="550"/>
      <c r="AQ84" s="552"/>
      <c r="AR84" s="212"/>
      <c r="AS84" s="212"/>
      <c r="AT84" s="212"/>
      <c r="AU84" s="212"/>
      <c r="AV84" s="212"/>
      <c r="AW84" s="212"/>
      <c r="AX84" s="214"/>
      <c r="AY84" s="212"/>
      <c r="AZ84" s="553"/>
      <c r="BA84" s="224"/>
      <c r="BB84" s="224"/>
      <c r="BC84" s="224"/>
      <c r="BD84" s="224"/>
      <c r="BE84" s="224"/>
      <c r="BF84" s="224"/>
      <c r="BG84" s="224"/>
      <c r="BH84" s="225"/>
      <c r="BI84" s="231"/>
      <c r="BJ84" s="553"/>
      <c r="BK84" s="224"/>
      <c r="BL84" s="224"/>
      <c r="BM84" s="224"/>
      <c r="BN84" s="224"/>
      <c r="BO84" s="224"/>
      <c r="BP84" s="224"/>
      <c r="BQ84" s="224"/>
      <c r="BR84" s="225"/>
      <c r="BS84" s="215"/>
      <c r="BT84" s="235"/>
      <c r="BU84" s="235"/>
      <c r="BV84" s="235"/>
      <c r="BW84" s="235"/>
      <c r="BX84" s="235"/>
    </row>
    <row r="85" spans="2:80" s="211" customFormat="1" ht="9" customHeight="1" x14ac:dyDescent="0.25">
      <c r="B85" s="213"/>
      <c r="C85" s="212"/>
      <c r="D85" s="212"/>
      <c r="E85" s="212"/>
      <c r="F85" s="212"/>
      <c r="G85" s="212"/>
      <c r="H85" s="212"/>
      <c r="I85" s="212"/>
      <c r="J85" s="214"/>
      <c r="K85" s="212"/>
      <c r="L85" s="213"/>
      <c r="M85" s="212"/>
      <c r="N85" s="212"/>
      <c r="O85" s="212"/>
      <c r="P85" s="212"/>
      <c r="Q85" s="212"/>
      <c r="R85" s="212"/>
      <c r="S85" s="212"/>
      <c r="T85" s="214"/>
      <c r="U85" s="212"/>
      <c r="V85" s="213"/>
      <c r="W85" s="212"/>
      <c r="X85" s="212"/>
      <c r="Y85" s="212"/>
      <c r="Z85" s="212"/>
      <c r="AA85" s="212"/>
      <c r="AB85" s="212"/>
      <c r="AC85" s="212"/>
      <c r="AD85" s="214"/>
      <c r="AE85" s="212"/>
      <c r="AF85" s="213"/>
      <c r="AG85" s="212"/>
      <c r="AH85" s="212"/>
      <c r="AI85" s="212"/>
      <c r="AJ85" s="212"/>
      <c r="AK85" s="212"/>
      <c r="AL85" s="212"/>
      <c r="AM85" s="212"/>
      <c r="AN85" s="214"/>
      <c r="AO85" s="212"/>
      <c r="AP85" s="550"/>
      <c r="AQ85" s="552"/>
      <c r="AR85" s="212"/>
      <c r="AS85" s="212"/>
      <c r="AT85" s="212"/>
      <c r="AU85" s="212"/>
      <c r="AV85" s="212"/>
      <c r="AW85" s="212"/>
      <c r="AX85" s="214"/>
      <c r="AY85" s="212"/>
      <c r="AZ85" s="553"/>
      <c r="BA85" s="224"/>
      <c r="BB85" s="224"/>
      <c r="BC85" s="224"/>
      <c r="BD85" s="224"/>
      <c r="BE85" s="224"/>
      <c r="BF85" s="224"/>
      <c r="BG85" s="224"/>
      <c r="BH85" s="225"/>
      <c r="BI85" s="231"/>
      <c r="BJ85" s="553"/>
      <c r="BK85" s="224"/>
      <c r="BL85" s="224"/>
      <c r="BM85" s="224"/>
      <c r="BN85" s="224"/>
      <c r="BO85" s="224"/>
      <c r="BP85" s="224"/>
      <c r="BQ85" s="224"/>
      <c r="BR85" s="225"/>
      <c r="BS85" s="215"/>
      <c r="BT85" s="235"/>
      <c r="BU85" s="235"/>
      <c r="BV85" s="235"/>
      <c r="BW85" s="235"/>
      <c r="BX85" s="235"/>
    </row>
    <row r="86" spans="2:80" s="211" customFormat="1" ht="9" customHeight="1" x14ac:dyDescent="0.25">
      <c r="B86" s="213"/>
      <c r="C86" s="212"/>
      <c r="D86" s="212"/>
      <c r="E86" s="212"/>
      <c r="F86" s="212"/>
      <c r="G86" s="212"/>
      <c r="H86" s="212"/>
      <c r="I86" s="212"/>
      <c r="J86" s="214"/>
      <c r="K86" s="212"/>
      <c r="L86" s="213"/>
      <c r="M86" s="212"/>
      <c r="N86" s="212"/>
      <c r="O86" s="212"/>
      <c r="P86" s="212"/>
      <c r="Q86" s="212"/>
      <c r="R86" s="212"/>
      <c r="S86" s="212"/>
      <c r="T86" s="214"/>
      <c r="U86" s="212"/>
      <c r="V86" s="213"/>
      <c r="W86" s="212"/>
      <c r="X86" s="212"/>
      <c r="Y86" s="212"/>
      <c r="Z86" s="212"/>
      <c r="AA86" s="212"/>
      <c r="AB86" s="212"/>
      <c r="AC86" s="212"/>
      <c r="AD86" s="214"/>
      <c r="AE86" s="212"/>
      <c r="AF86" s="213"/>
      <c r="AG86" s="212"/>
      <c r="AH86" s="212"/>
      <c r="AI86" s="212"/>
      <c r="AJ86" s="212"/>
      <c r="AK86" s="212"/>
      <c r="AL86" s="212"/>
      <c r="AM86" s="212"/>
      <c r="AN86" s="214"/>
      <c r="AO86" s="212"/>
      <c r="AP86" s="550"/>
      <c r="AQ86" s="552"/>
      <c r="AR86" s="212"/>
      <c r="AS86" s="212"/>
      <c r="AT86" s="212"/>
      <c r="AU86" s="212"/>
      <c r="AV86" s="212"/>
      <c r="AW86" s="212"/>
      <c r="AX86" s="214"/>
      <c r="AY86" s="212"/>
      <c r="AZ86" s="553"/>
      <c r="BA86" s="224"/>
      <c r="BB86" s="224"/>
      <c r="BC86" s="224"/>
      <c r="BD86" s="224"/>
      <c r="BE86" s="224"/>
      <c r="BF86" s="224"/>
      <c r="BG86" s="224"/>
      <c r="BH86" s="225"/>
      <c r="BI86" s="231"/>
      <c r="BJ86" s="553"/>
      <c r="BK86" s="224"/>
      <c r="BL86" s="224"/>
      <c r="BM86" s="224"/>
      <c r="BN86" s="224"/>
      <c r="BO86" s="224"/>
      <c r="BP86" s="224"/>
      <c r="BQ86" s="224"/>
      <c r="BR86" s="225"/>
      <c r="BS86" s="215"/>
      <c r="BT86" s="235"/>
      <c r="BU86" s="235"/>
      <c r="BV86" s="235"/>
      <c r="BW86" s="235"/>
      <c r="BX86" s="235"/>
    </row>
    <row r="87" spans="2:80" s="211" customFormat="1" ht="9" customHeight="1" x14ac:dyDescent="0.25">
      <c r="B87" s="213"/>
      <c r="C87" s="212"/>
      <c r="D87" s="212"/>
      <c r="E87" s="212"/>
      <c r="F87" s="212"/>
      <c r="G87" s="212"/>
      <c r="H87" s="212"/>
      <c r="I87" s="212"/>
      <c r="J87" s="214"/>
      <c r="K87" s="212"/>
      <c r="L87" s="213"/>
      <c r="M87" s="212"/>
      <c r="N87" s="212"/>
      <c r="O87" s="212"/>
      <c r="P87" s="212"/>
      <c r="Q87" s="212"/>
      <c r="R87" s="212"/>
      <c r="S87" s="212"/>
      <c r="T87" s="214"/>
      <c r="U87" s="212"/>
      <c r="V87" s="213"/>
      <c r="W87" s="212"/>
      <c r="X87" s="212"/>
      <c r="Y87" s="212"/>
      <c r="Z87" s="212"/>
      <c r="AA87" s="212"/>
      <c r="AB87" s="212"/>
      <c r="AC87" s="212"/>
      <c r="AD87" s="214"/>
      <c r="AE87" s="212"/>
      <c r="AF87" s="213"/>
      <c r="AG87" s="212"/>
      <c r="AH87" s="212"/>
      <c r="AI87" s="212"/>
      <c r="AJ87" s="212"/>
      <c r="AK87" s="212"/>
      <c r="AL87" s="212"/>
      <c r="AM87" s="212"/>
      <c r="AN87" s="214"/>
      <c r="AO87" s="212"/>
      <c r="AP87" s="550"/>
      <c r="AQ87" s="552"/>
      <c r="AR87" s="212"/>
      <c r="AS87" s="212"/>
      <c r="AT87" s="212"/>
      <c r="AU87" s="212"/>
      <c r="AV87" s="212"/>
      <c r="AW87" s="212"/>
      <c r="AX87" s="214"/>
      <c r="AY87" s="212"/>
      <c r="AZ87" s="553"/>
      <c r="BA87" s="224"/>
      <c r="BB87" s="224"/>
      <c r="BC87" s="224"/>
      <c r="BD87" s="224"/>
      <c r="BE87" s="224"/>
      <c r="BF87" s="224"/>
      <c r="BG87" s="224"/>
      <c r="BH87" s="225"/>
      <c r="BI87" s="231"/>
      <c r="BJ87" s="553"/>
      <c r="BK87" s="224"/>
      <c r="BL87" s="224"/>
      <c r="BM87" s="224"/>
      <c r="BN87" s="224"/>
      <c r="BO87" s="224"/>
      <c r="BP87" s="224"/>
      <c r="BQ87" s="224"/>
      <c r="BR87" s="225"/>
      <c r="BS87" s="215"/>
      <c r="BT87" s="235"/>
      <c r="BU87" s="235"/>
      <c r="BV87" s="235"/>
      <c r="BW87" s="235"/>
      <c r="BX87" s="235"/>
    </row>
    <row r="88" spans="2:80" s="211" customFormat="1" ht="9" customHeight="1" x14ac:dyDescent="0.25">
      <c r="B88" s="213"/>
      <c r="C88" s="212"/>
      <c r="D88" s="212"/>
      <c r="E88" s="212"/>
      <c r="F88" s="212"/>
      <c r="G88" s="212"/>
      <c r="H88" s="212"/>
      <c r="I88" s="212"/>
      <c r="J88" s="214"/>
      <c r="K88" s="212"/>
      <c r="L88" s="213"/>
      <c r="M88" s="212"/>
      <c r="N88" s="212"/>
      <c r="O88" s="212"/>
      <c r="P88" s="212"/>
      <c r="Q88" s="212"/>
      <c r="R88" s="212"/>
      <c r="S88" s="212"/>
      <c r="T88" s="214"/>
      <c r="U88" s="212"/>
      <c r="V88" s="213"/>
      <c r="W88" s="212"/>
      <c r="X88" s="212"/>
      <c r="Y88" s="212"/>
      <c r="Z88" s="212"/>
      <c r="AA88" s="212"/>
      <c r="AB88" s="212"/>
      <c r="AC88" s="212"/>
      <c r="AD88" s="214"/>
      <c r="AE88" s="212"/>
      <c r="AF88" s="213"/>
      <c r="AG88" s="212"/>
      <c r="AH88" s="212"/>
      <c r="AI88" s="212"/>
      <c r="AJ88" s="212"/>
      <c r="AK88" s="212"/>
      <c r="AL88" s="212"/>
      <c r="AM88" s="212"/>
      <c r="AN88" s="214"/>
      <c r="AO88" s="212"/>
      <c r="AP88" s="550"/>
      <c r="AQ88" s="552"/>
      <c r="AR88" s="212"/>
      <c r="AS88" s="212"/>
      <c r="AT88" s="212"/>
      <c r="AU88" s="212"/>
      <c r="AV88" s="212"/>
      <c r="AW88" s="212"/>
      <c r="AX88" s="214"/>
      <c r="AY88" s="212"/>
      <c r="AZ88" s="553"/>
      <c r="BA88" s="224"/>
      <c r="BB88" s="224"/>
      <c r="BC88" s="224"/>
      <c r="BD88" s="224"/>
      <c r="BE88" s="224"/>
      <c r="BF88" s="224"/>
      <c r="BG88" s="224"/>
      <c r="BH88" s="225"/>
      <c r="BI88" s="231"/>
      <c r="BJ88" s="553"/>
      <c r="BK88" s="224"/>
      <c r="BL88" s="224"/>
      <c r="BM88" s="224"/>
      <c r="BN88" s="224"/>
      <c r="BO88" s="224"/>
      <c r="BP88" s="224"/>
      <c r="BQ88" s="224"/>
      <c r="BR88" s="225"/>
      <c r="BS88" s="215"/>
      <c r="BT88" s="545"/>
      <c r="BU88" s="545"/>
      <c r="BV88" s="545"/>
      <c r="BW88" s="545"/>
      <c r="BX88" s="545"/>
      <c r="BY88" s="545"/>
      <c r="BZ88" s="545"/>
      <c r="CA88" s="545"/>
      <c r="CB88" s="545"/>
    </row>
    <row r="89" spans="2:80" s="211" customFormat="1" ht="9" customHeight="1" x14ac:dyDescent="0.25">
      <c r="B89" s="213"/>
      <c r="C89" s="212"/>
      <c r="D89" s="212"/>
      <c r="E89" s="212"/>
      <c r="F89" s="212"/>
      <c r="G89" s="212"/>
      <c r="H89" s="212"/>
      <c r="I89" s="212"/>
      <c r="J89" s="214"/>
      <c r="K89" s="212"/>
      <c r="L89" s="213"/>
      <c r="M89" s="212"/>
      <c r="N89" s="212"/>
      <c r="O89" s="212"/>
      <c r="P89" s="212"/>
      <c r="Q89" s="212"/>
      <c r="R89" s="212"/>
      <c r="S89" s="212"/>
      <c r="T89" s="214"/>
      <c r="U89" s="212"/>
      <c r="V89" s="213"/>
      <c r="W89" s="212"/>
      <c r="X89" s="212"/>
      <c r="Y89" s="212"/>
      <c r="Z89" s="212"/>
      <c r="AA89" s="212"/>
      <c r="AB89" s="212"/>
      <c r="AC89" s="212"/>
      <c r="AD89" s="214"/>
      <c r="AE89" s="212"/>
      <c r="AF89" s="213"/>
      <c r="AG89" s="212"/>
      <c r="AH89" s="212"/>
      <c r="AI89" s="212"/>
      <c r="AJ89" s="212"/>
      <c r="AK89" s="212"/>
      <c r="AL89" s="212"/>
      <c r="AM89" s="212"/>
      <c r="AN89" s="214"/>
      <c r="AO89" s="212"/>
      <c r="AP89" s="561"/>
      <c r="AQ89" s="562"/>
      <c r="AR89" s="562"/>
      <c r="AS89" s="562"/>
      <c r="AT89" s="562"/>
      <c r="AU89" s="562"/>
      <c r="AV89" s="562"/>
      <c r="AW89" s="562"/>
      <c r="AX89" s="563"/>
      <c r="AY89" s="212"/>
      <c r="AZ89" s="553"/>
      <c r="BA89" s="224"/>
      <c r="BB89" s="224"/>
      <c r="BC89" s="224"/>
      <c r="BD89" s="224"/>
      <c r="BE89" s="224"/>
      <c r="BF89" s="224"/>
      <c r="BG89" s="224"/>
      <c r="BH89" s="225"/>
      <c r="BI89" s="214"/>
      <c r="BJ89" s="553"/>
      <c r="BK89" s="224"/>
      <c r="BL89" s="224"/>
      <c r="BM89" s="224"/>
      <c r="BN89" s="224"/>
      <c r="BO89" s="224"/>
      <c r="BP89" s="224"/>
      <c r="BQ89" s="224"/>
      <c r="BR89" s="225"/>
      <c r="BS89" s="215"/>
      <c r="BT89" s="238"/>
      <c r="BU89" s="238"/>
      <c r="BV89" s="238"/>
      <c r="BW89" s="238"/>
      <c r="BX89" s="238"/>
      <c r="BY89" s="238"/>
      <c r="BZ89" s="238"/>
      <c r="CA89" s="238"/>
      <c r="CB89" s="238"/>
    </row>
    <row r="90" spans="2:80" s="211" customFormat="1" ht="9" customHeight="1" x14ac:dyDescent="0.25">
      <c r="B90" s="202"/>
      <c r="C90" s="203"/>
      <c r="D90" s="203"/>
      <c r="E90" s="203"/>
      <c r="F90" s="203"/>
      <c r="G90" s="203"/>
      <c r="H90" s="203"/>
      <c r="I90" s="203"/>
      <c r="J90" s="204"/>
      <c r="K90" s="203"/>
      <c r="L90" s="543" t="s">
        <v>288</v>
      </c>
      <c r="M90" s="543"/>
      <c r="N90" s="543"/>
      <c r="O90" s="543"/>
      <c r="P90" s="543"/>
      <c r="Q90" s="542">
        <f>CEILING(1751*B3,1)</f>
        <v>3327</v>
      </c>
      <c r="R90" s="542"/>
      <c r="S90" s="542"/>
      <c r="T90" s="542"/>
      <c r="U90" s="200"/>
      <c r="V90" s="543" t="s">
        <v>298</v>
      </c>
      <c r="W90" s="543"/>
      <c r="X90" s="543"/>
      <c r="Y90" s="543"/>
      <c r="Z90" s="543"/>
      <c r="AA90" s="542">
        <f>CEILING(3444*B3,1)</f>
        <v>6544</v>
      </c>
      <c r="AB90" s="542"/>
      <c r="AC90" s="542"/>
      <c r="AD90" s="542"/>
      <c r="AE90" s="200"/>
      <c r="AF90" s="543" t="s">
        <v>298</v>
      </c>
      <c r="AG90" s="543"/>
      <c r="AH90" s="543"/>
      <c r="AI90" s="543"/>
      <c r="AJ90" s="543"/>
      <c r="AK90" s="542">
        <f>CEILING(4067*B3,1)</f>
        <v>7728</v>
      </c>
      <c r="AL90" s="542"/>
      <c r="AM90" s="542"/>
      <c r="AN90" s="542"/>
      <c r="AO90" s="200"/>
      <c r="AP90" s="543" t="s">
        <v>559</v>
      </c>
      <c r="AQ90" s="543"/>
      <c r="AR90" s="543"/>
      <c r="AS90" s="543"/>
      <c r="AT90" s="543"/>
      <c r="AU90" s="542">
        <f>CEILING(3864*B3,1)</f>
        <v>7342</v>
      </c>
      <c r="AV90" s="542"/>
      <c r="AW90" s="542"/>
      <c r="AX90" s="542"/>
      <c r="AY90" s="200"/>
      <c r="AZ90" s="543" t="s">
        <v>330</v>
      </c>
      <c r="BA90" s="543"/>
      <c r="BB90" s="543"/>
      <c r="BC90" s="543"/>
      <c r="BD90" s="543"/>
      <c r="BE90" s="542">
        <f>CEILING(8941*B3,1)</f>
        <v>16988</v>
      </c>
      <c r="BF90" s="542"/>
      <c r="BG90" s="542"/>
      <c r="BH90" s="542"/>
      <c r="BI90" s="204"/>
      <c r="BJ90" s="210"/>
      <c r="BK90" s="205"/>
      <c r="BL90" s="205"/>
      <c r="BM90" s="205"/>
      <c r="BN90" s="205"/>
      <c r="BO90" s="205"/>
      <c r="BP90" s="205"/>
      <c r="BQ90" s="205"/>
      <c r="BR90" s="206"/>
      <c r="BS90" s="215"/>
      <c r="BT90" s="238"/>
      <c r="BU90" s="238"/>
      <c r="BV90" s="238"/>
      <c r="BW90" s="238"/>
      <c r="BX90" s="238"/>
      <c r="BY90" s="238"/>
      <c r="BZ90" s="238"/>
      <c r="CA90" s="238"/>
      <c r="CB90" s="238"/>
    </row>
    <row r="91" spans="2:80" s="211" customFormat="1" ht="9" customHeight="1" x14ac:dyDescent="0.25">
      <c r="B91" s="543" t="s">
        <v>560</v>
      </c>
      <c r="C91" s="543"/>
      <c r="D91" s="543"/>
      <c r="E91" s="543"/>
      <c r="F91" s="543"/>
      <c r="G91" s="542">
        <f>CEILING(7629*B3,1)</f>
        <v>14496</v>
      </c>
      <c r="H91" s="542"/>
      <c r="I91" s="542"/>
      <c r="J91" s="542"/>
      <c r="K91" s="200"/>
      <c r="L91" s="543" t="s">
        <v>307</v>
      </c>
      <c r="M91" s="543"/>
      <c r="N91" s="543"/>
      <c r="O91" s="543"/>
      <c r="P91" s="543"/>
      <c r="Q91" s="542">
        <f>CEILING(2577*B3,1)</f>
        <v>4897</v>
      </c>
      <c r="R91" s="542"/>
      <c r="S91" s="542"/>
      <c r="T91" s="542"/>
      <c r="U91" s="200"/>
      <c r="V91" s="543" t="s">
        <v>317</v>
      </c>
      <c r="W91" s="543"/>
      <c r="X91" s="543"/>
      <c r="Y91" s="543"/>
      <c r="Z91" s="543"/>
      <c r="AA91" s="542">
        <f>CEILING(3933*B3,1)</f>
        <v>7473</v>
      </c>
      <c r="AB91" s="542"/>
      <c r="AC91" s="542"/>
      <c r="AD91" s="542"/>
      <c r="AE91" s="200"/>
      <c r="AF91" s="543" t="s">
        <v>317</v>
      </c>
      <c r="AG91" s="543"/>
      <c r="AH91" s="543"/>
      <c r="AI91" s="543"/>
      <c r="AJ91" s="543"/>
      <c r="AK91" s="542">
        <f>CEILING(4608*B3,1)</f>
        <v>8756</v>
      </c>
      <c r="AL91" s="542"/>
      <c r="AM91" s="542"/>
      <c r="AN91" s="542"/>
      <c r="AO91" s="200"/>
      <c r="AP91" s="543" t="s">
        <v>561</v>
      </c>
      <c r="AQ91" s="543"/>
      <c r="AR91" s="543"/>
      <c r="AS91" s="543"/>
      <c r="AT91" s="543"/>
      <c r="AU91" s="542">
        <f>CEILING(5170*B3,1)</f>
        <v>9823</v>
      </c>
      <c r="AV91" s="542"/>
      <c r="AW91" s="542"/>
      <c r="AX91" s="542"/>
      <c r="AY91" s="200"/>
      <c r="AZ91" s="543" t="s">
        <v>335</v>
      </c>
      <c r="BA91" s="543"/>
      <c r="BB91" s="543"/>
      <c r="BC91" s="543"/>
      <c r="BD91" s="543"/>
      <c r="BE91" s="542">
        <f>CEILING(9864*B3,1)</f>
        <v>18742</v>
      </c>
      <c r="BF91" s="542"/>
      <c r="BG91" s="542"/>
      <c r="BH91" s="542"/>
      <c r="BI91" s="200"/>
      <c r="BJ91" s="543" t="s">
        <v>317</v>
      </c>
      <c r="BK91" s="543"/>
      <c r="BL91" s="543"/>
      <c r="BM91" s="543"/>
      <c r="BN91" s="543"/>
      <c r="BO91" s="542">
        <f>CEILING(9213*B3,1)</f>
        <v>17505</v>
      </c>
      <c r="BP91" s="542"/>
      <c r="BQ91" s="542"/>
      <c r="BR91" s="542"/>
      <c r="BS91" s="215"/>
      <c r="BT91" s="238"/>
      <c r="BU91" s="238"/>
      <c r="BV91" s="238"/>
      <c r="BW91" s="238"/>
      <c r="BX91" s="238"/>
      <c r="BY91" s="238"/>
      <c r="BZ91" s="238"/>
      <c r="CA91" s="238"/>
      <c r="CB91" s="238"/>
    </row>
    <row r="92" spans="2:80" s="211" customFormat="1" ht="9" customHeight="1" x14ac:dyDescent="0.25">
      <c r="B92" s="543" t="s">
        <v>562</v>
      </c>
      <c r="C92" s="543"/>
      <c r="D92" s="543"/>
      <c r="E92" s="543"/>
      <c r="F92" s="543"/>
      <c r="G92" s="542">
        <f>CEILING(8059*B3,1)</f>
        <v>15313</v>
      </c>
      <c r="H92" s="542"/>
      <c r="I92" s="542"/>
      <c r="J92" s="542"/>
      <c r="K92" s="200"/>
      <c r="L92" s="543" t="s">
        <v>308</v>
      </c>
      <c r="M92" s="543"/>
      <c r="N92" s="543"/>
      <c r="O92" s="543"/>
      <c r="P92" s="543"/>
      <c r="Q92" s="542">
        <f>CEILING(2958*B3,1)</f>
        <v>5621</v>
      </c>
      <c r="R92" s="542"/>
      <c r="S92" s="542"/>
      <c r="T92" s="542"/>
      <c r="U92" s="200"/>
      <c r="V92" s="543" t="s">
        <v>318</v>
      </c>
      <c r="W92" s="543"/>
      <c r="X92" s="543"/>
      <c r="Y92" s="543"/>
      <c r="Z92" s="543"/>
      <c r="AA92" s="542">
        <f>CEILING(4527*B3,1)</f>
        <v>8602</v>
      </c>
      <c r="AB92" s="542"/>
      <c r="AC92" s="542"/>
      <c r="AD92" s="542"/>
      <c r="AE92" s="200"/>
      <c r="AF92" s="543" t="s">
        <v>318</v>
      </c>
      <c r="AG92" s="543"/>
      <c r="AH92" s="543"/>
      <c r="AI92" s="543"/>
      <c r="AJ92" s="543"/>
      <c r="AK92" s="542">
        <f>CEILING(5151*B3,1)</f>
        <v>9787</v>
      </c>
      <c r="AL92" s="542"/>
      <c r="AM92" s="542"/>
      <c r="AN92" s="542"/>
      <c r="AO92" s="200"/>
      <c r="AP92" s="543" t="s">
        <v>563</v>
      </c>
      <c r="AQ92" s="543"/>
      <c r="AR92" s="543"/>
      <c r="AS92" s="543"/>
      <c r="AT92" s="543"/>
      <c r="AU92" s="542">
        <f>CEILING(5421*B3,1)</f>
        <v>10300</v>
      </c>
      <c r="AV92" s="542"/>
      <c r="AW92" s="542"/>
      <c r="AX92" s="542"/>
      <c r="AY92" s="200"/>
      <c r="AZ92" s="543" t="s">
        <v>334</v>
      </c>
      <c r="BA92" s="543"/>
      <c r="BB92" s="543"/>
      <c r="BC92" s="543"/>
      <c r="BD92" s="543"/>
      <c r="BE92" s="542">
        <f>CEILING(10840*B3,1)</f>
        <v>20596</v>
      </c>
      <c r="BF92" s="542"/>
      <c r="BG92" s="542"/>
      <c r="BH92" s="542"/>
      <c r="BI92" s="200"/>
      <c r="BJ92" s="543" t="s">
        <v>318</v>
      </c>
      <c r="BK92" s="543"/>
      <c r="BL92" s="543"/>
      <c r="BM92" s="543"/>
      <c r="BN92" s="543"/>
      <c r="BO92" s="542">
        <f>CEILING(10240*B3,1)</f>
        <v>19456</v>
      </c>
      <c r="BP92" s="542"/>
      <c r="BQ92" s="542"/>
      <c r="BR92" s="542"/>
      <c r="BS92" s="215"/>
      <c r="BT92" s="544"/>
      <c r="BU92" s="544"/>
      <c r="BV92" s="544"/>
      <c r="BW92" s="544"/>
      <c r="BX92" s="544"/>
      <c r="BY92" s="545"/>
      <c r="BZ92" s="545"/>
      <c r="CA92" s="545"/>
      <c r="CB92" s="545"/>
    </row>
  </sheetData>
  <mergeCells count="278">
    <mergeCell ref="B3:J3"/>
    <mergeCell ref="L3:BR3"/>
    <mergeCell ref="BJ5:BL5"/>
    <mergeCell ref="BM5:BR5"/>
    <mergeCell ref="B6:J6"/>
    <mergeCell ref="L6:T6"/>
    <mergeCell ref="V6:AD6"/>
    <mergeCell ref="AF6:AN6"/>
    <mergeCell ref="AP6:AX6"/>
    <mergeCell ref="AZ6:BH6"/>
    <mergeCell ref="BJ6:BR6"/>
    <mergeCell ref="AF5:AH5"/>
    <mergeCell ref="AI5:AN5"/>
    <mergeCell ref="AP5:AR5"/>
    <mergeCell ref="AS5:AX5"/>
    <mergeCell ref="AZ5:BB5"/>
    <mergeCell ref="BC5:BH5"/>
    <mergeCell ref="B5:D5"/>
    <mergeCell ref="E5:J5"/>
    <mergeCell ref="L5:N5"/>
    <mergeCell ref="O5:T5"/>
    <mergeCell ref="V5:X5"/>
    <mergeCell ref="Y5:AD5"/>
    <mergeCell ref="AP16:AX16"/>
    <mergeCell ref="AZ16:BH16"/>
    <mergeCell ref="BJ16:BR16"/>
    <mergeCell ref="B17:F17"/>
    <mergeCell ref="G17:J17"/>
    <mergeCell ref="L17:P17"/>
    <mergeCell ref="Q17:T17"/>
    <mergeCell ref="V17:Z17"/>
    <mergeCell ref="AA17:AD17"/>
    <mergeCell ref="AF17:AJ17"/>
    <mergeCell ref="BO17:BR17"/>
    <mergeCell ref="AK17:AN17"/>
    <mergeCell ref="AP17:AT17"/>
    <mergeCell ref="AU17:AX17"/>
    <mergeCell ref="AZ17:BD17"/>
    <mergeCell ref="BE17:BH17"/>
    <mergeCell ref="BJ17:BN17"/>
    <mergeCell ref="AS19:AX19"/>
    <mergeCell ref="AZ19:BB19"/>
    <mergeCell ref="BC19:BH19"/>
    <mergeCell ref="BJ19:BL19"/>
    <mergeCell ref="BM19:BR19"/>
    <mergeCell ref="B20:J20"/>
    <mergeCell ref="L20:T20"/>
    <mergeCell ref="V20:AD20"/>
    <mergeCell ref="AF20:AN20"/>
    <mergeCell ref="AP20:AX20"/>
    <mergeCell ref="AZ20:BH20"/>
    <mergeCell ref="BJ20:BR20"/>
    <mergeCell ref="B19:D19"/>
    <mergeCell ref="E19:J19"/>
    <mergeCell ref="L19:N19"/>
    <mergeCell ref="O19:T19"/>
    <mergeCell ref="V19:X19"/>
    <mergeCell ref="Y19:AD19"/>
    <mergeCell ref="AF19:AH19"/>
    <mergeCell ref="AI19:AN19"/>
    <mergeCell ref="AP19:AR19"/>
    <mergeCell ref="G29:J29"/>
    <mergeCell ref="AK29:AN29"/>
    <mergeCell ref="B30:F30"/>
    <mergeCell ref="G30:J30"/>
    <mergeCell ref="L30:P30"/>
    <mergeCell ref="Q30:T30"/>
    <mergeCell ref="V30:Z30"/>
    <mergeCell ref="AA30:AD30"/>
    <mergeCell ref="AP31:AT31"/>
    <mergeCell ref="AU31:AX31"/>
    <mergeCell ref="AZ31:BD31"/>
    <mergeCell ref="BE31:BH31"/>
    <mergeCell ref="BJ31:BN31"/>
    <mergeCell ref="BO31:BR31"/>
    <mergeCell ref="BJ30:BN30"/>
    <mergeCell ref="BO30:BR30"/>
    <mergeCell ref="B31:F31"/>
    <mergeCell ref="G31:J31"/>
    <mergeCell ref="L31:P31"/>
    <mergeCell ref="Q31:T31"/>
    <mergeCell ref="V31:Z31"/>
    <mergeCell ref="AA31:AD31"/>
    <mergeCell ref="AF31:AJ31"/>
    <mergeCell ref="AK31:AN31"/>
    <mergeCell ref="AF30:AJ30"/>
    <mergeCell ref="AK30:AN30"/>
    <mergeCell ref="AP30:AT30"/>
    <mergeCell ref="AU30:AX30"/>
    <mergeCell ref="AZ30:BD30"/>
    <mergeCell ref="BE30:BH30"/>
    <mergeCell ref="BJ33:BL33"/>
    <mergeCell ref="BM33:BR33"/>
    <mergeCell ref="B34:J34"/>
    <mergeCell ref="L34:T34"/>
    <mergeCell ref="B44:F44"/>
    <mergeCell ref="G44:J44"/>
    <mergeCell ref="L44:P44"/>
    <mergeCell ref="Q44:T44"/>
    <mergeCell ref="AF33:AH33"/>
    <mergeCell ref="AI33:AN33"/>
    <mergeCell ref="AP33:AR33"/>
    <mergeCell ref="AS33:AX33"/>
    <mergeCell ref="AZ33:BB33"/>
    <mergeCell ref="BC33:BH33"/>
    <mergeCell ref="B33:D33"/>
    <mergeCell ref="E33:J33"/>
    <mergeCell ref="L33:N33"/>
    <mergeCell ref="O33:T33"/>
    <mergeCell ref="V33:X33"/>
    <mergeCell ref="Y33:AD33"/>
    <mergeCell ref="BJ45:BN45"/>
    <mergeCell ref="BO45:BR45"/>
    <mergeCell ref="B47:D47"/>
    <mergeCell ref="E47:J47"/>
    <mergeCell ref="L47:N47"/>
    <mergeCell ref="O47:T47"/>
    <mergeCell ref="V47:X47"/>
    <mergeCell ref="Y47:AD47"/>
    <mergeCell ref="AF47:AH47"/>
    <mergeCell ref="AI47:AN47"/>
    <mergeCell ref="AF45:AJ45"/>
    <mergeCell ref="AK45:AN45"/>
    <mergeCell ref="AP45:AT45"/>
    <mergeCell ref="AU45:AX45"/>
    <mergeCell ref="AZ45:BD45"/>
    <mergeCell ref="BE45:BH45"/>
    <mergeCell ref="B45:F45"/>
    <mergeCell ref="G45:J45"/>
    <mergeCell ref="L45:P45"/>
    <mergeCell ref="Q45:T45"/>
    <mergeCell ref="V45:Z45"/>
    <mergeCell ref="AA45:AD45"/>
    <mergeCell ref="AA59:AD59"/>
    <mergeCell ref="AZ48:BH48"/>
    <mergeCell ref="BJ48:BR48"/>
    <mergeCell ref="AZ49:BH49"/>
    <mergeCell ref="BJ49:BR49"/>
    <mergeCell ref="AZ58:BH58"/>
    <mergeCell ref="BJ58:BR58"/>
    <mergeCell ref="AP47:AR47"/>
    <mergeCell ref="AS47:AX47"/>
    <mergeCell ref="AZ47:BB47"/>
    <mergeCell ref="BC47:BH47"/>
    <mergeCell ref="BJ47:BL47"/>
    <mergeCell ref="BM47:BR47"/>
    <mergeCell ref="BC61:BH61"/>
    <mergeCell ref="BJ61:BL61"/>
    <mergeCell ref="BM61:BR61"/>
    <mergeCell ref="BJ59:BN59"/>
    <mergeCell ref="BO59:BR59"/>
    <mergeCell ref="B61:D61"/>
    <mergeCell ref="E61:J61"/>
    <mergeCell ref="L61:N61"/>
    <mergeCell ref="O61:T61"/>
    <mergeCell ref="V61:X61"/>
    <mergeCell ref="Y61:AD61"/>
    <mergeCell ref="AF61:AH61"/>
    <mergeCell ref="AI61:AN61"/>
    <mergeCell ref="AF59:AJ59"/>
    <mergeCell ref="AK59:AN59"/>
    <mergeCell ref="AP59:AT59"/>
    <mergeCell ref="AU59:AX59"/>
    <mergeCell ref="AZ59:BD59"/>
    <mergeCell ref="BE59:BH59"/>
    <mergeCell ref="B59:F59"/>
    <mergeCell ref="G59:J59"/>
    <mergeCell ref="L59:P59"/>
    <mergeCell ref="Q59:T59"/>
    <mergeCell ref="V59:Z59"/>
    <mergeCell ref="B62:J62"/>
    <mergeCell ref="L62:T62"/>
    <mergeCell ref="V62:AD62"/>
    <mergeCell ref="B63:J63"/>
    <mergeCell ref="L63:T63"/>
    <mergeCell ref="V63:AD63"/>
    <mergeCell ref="AP61:AR61"/>
    <mergeCell ref="AS61:AX61"/>
    <mergeCell ref="AZ61:BB61"/>
    <mergeCell ref="BJ71:BN71"/>
    <mergeCell ref="BO71:BR71"/>
    <mergeCell ref="B72:J72"/>
    <mergeCell ref="L72:T72"/>
    <mergeCell ref="V72:AD72"/>
    <mergeCell ref="AF72:AJ72"/>
    <mergeCell ref="AK72:AN72"/>
    <mergeCell ref="AP72:AT72"/>
    <mergeCell ref="AU72:AX72"/>
    <mergeCell ref="AZ72:BD72"/>
    <mergeCell ref="BE72:BH72"/>
    <mergeCell ref="BJ72:BN72"/>
    <mergeCell ref="BO72:BR72"/>
    <mergeCell ref="B73:F73"/>
    <mergeCell ref="G73:J73"/>
    <mergeCell ref="L73:P73"/>
    <mergeCell ref="Q73:T73"/>
    <mergeCell ref="V73:Z73"/>
    <mergeCell ref="AA73:AD73"/>
    <mergeCell ref="AF73:AJ73"/>
    <mergeCell ref="BO73:BR73"/>
    <mergeCell ref="B75:D75"/>
    <mergeCell ref="E75:J75"/>
    <mergeCell ref="L75:N75"/>
    <mergeCell ref="O75:T75"/>
    <mergeCell ref="V75:X75"/>
    <mergeCell ref="Y75:AD75"/>
    <mergeCell ref="AF75:AH75"/>
    <mergeCell ref="AI75:AN75"/>
    <mergeCell ref="AP75:AR75"/>
    <mergeCell ref="AK73:AN73"/>
    <mergeCell ref="AP73:AT73"/>
    <mergeCell ref="AU73:AX73"/>
    <mergeCell ref="AZ73:BD73"/>
    <mergeCell ref="BE73:BH73"/>
    <mergeCell ref="BJ73:BN73"/>
    <mergeCell ref="BW75:CB75"/>
    <mergeCell ref="V76:AD76"/>
    <mergeCell ref="AF76:AN76"/>
    <mergeCell ref="AP76:AP88"/>
    <mergeCell ref="AQ76:AQ88"/>
    <mergeCell ref="AR76:AX76"/>
    <mergeCell ref="AZ76:BH76"/>
    <mergeCell ref="BJ76:BR76"/>
    <mergeCell ref="AZ77:AZ89"/>
    <mergeCell ref="BJ77:BJ89"/>
    <mergeCell ref="AS75:AX75"/>
    <mergeCell ref="AZ75:BB75"/>
    <mergeCell ref="BC75:BH75"/>
    <mergeCell ref="BJ75:BL75"/>
    <mergeCell ref="BM75:BR75"/>
    <mergeCell ref="BT75:BV75"/>
    <mergeCell ref="BT83:BX83"/>
    <mergeCell ref="BY83:CB83"/>
    <mergeCell ref="BT88:BV88"/>
    <mergeCell ref="BW88:CB88"/>
    <mergeCell ref="AP89:AX89"/>
    <mergeCell ref="L91:P91"/>
    <mergeCell ref="Q91:T91"/>
    <mergeCell ref="V91:Z91"/>
    <mergeCell ref="BO92:BR92"/>
    <mergeCell ref="BT92:BX92"/>
    <mergeCell ref="BY92:CB92"/>
    <mergeCell ref="L90:P90"/>
    <mergeCell ref="Q90:T90"/>
    <mergeCell ref="V90:Z90"/>
    <mergeCell ref="AA90:AD90"/>
    <mergeCell ref="AF90:AJ90"/>
    <mergeCell ref="AP91:AT91"/>
    <mergeCell ref="AU91:AX91"/>
    <mergeCell ref="AZ91:BD91"/>
    <mergeCell ref="AK90:AN90"/>
    <mergeCell ref="AP90:AT90"/>
    <mergeCell ref="AU90:AX90"/>
    <mergeCell ref="AZ90:BD90"/>
    <mergeCell ref="BJ1:BS1"/>
    <mergeCell ref="B2:BR2"/>
    <mergeCell ref="AK92:AN92"/>
    <mergeCell ref="AP92:AT92"/>
    <mergeCell ref="AU92:AX92"/>
    <mergeCell ref="AZ92:BD92"/>
    <mergeCell ref="BE92:BH92"/>
    <mergeCell ref="BJ92:BN92"/>
    <mergeCell ref="BE91:BH91"/>
    <mergeCell ref="BJ91:BN91"/>
    <mergeCell ref="BO91:BR91"/>
    <mergeCell ref="B92:F92"/>
    <mergeCell ref="G92:J92"/>
    <mergeCell ref="L92:P92"/>
    <mergeCell ref="Q92:T92"/>
    <mergeCell ref="V92:Z92"/>
    <mergeCell ref="AA92:AD92"/>
    <mergeCell ref="AF92:AJ92"/>
    <mergeCell ref="AA91:AD91"/>
    <mergeCell ref="AF91:AJ91"/>
    <mergeCell ref="AK91:AN91"/>
    <mergeCell ref="BE90:BH90"/>
    <mergeCell ref="B91:F91"/>
    <mergeCell ref="G91:J91"/>
  </mergeCells>
  <hyperlinks>
    <hyperlink ref="BJ1" location="ОГЛАВЛЕНИЕ!R1C1" display="ОГЛАВЛЕНИЕ!R1C1" xr:uid="{AA3B3357-2824-4797-A38A-26155F3AC5D1}"/>
  </hyperlinks>
  <pageMargins left="0.23622047244094491" right="0.23622047244094491" top="0.35433070866141736" bottom="0.35433070866141736"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5</vt:i4>
      </vt:variant>
    </vt:vector>
  </HeadingPairs>
  <TitlesOfParts>
    <vt:vector size="17" baseType="lpstr">
      <vt:lpstr>ОГЛАВЛЕНИЕ</vt:lpstr>
      <vt:lpstr>Школьная мебель</vt:lpstr>
      <vt:lpstr>Серия "Бюджет"</vt:lpstr>
      <vt:lpstr>Серия "Эталон"</vt:lpstr>
      <vt:lpstr>Серия "Оптима"</vt:lpstr>
      <vt:lpstr>Шкафы</vt:lpstr>
      <vt:lpstr>Модульные системы хранения</vt:lpstr>
      <vt:lpstr>Столы письменные</vt:lpstr>
      <vt:lpstr>Тумбы</vt:lpstr>
      <vt:lpstr>Библиотека</vt:lpstr>
      <vt:lpstr>Доски школьные</vt:lpstr>
      <vt:lpstr>Группы роста</vt:lpstr>
      <vt:lpstr>Библиотека!Область_печати</vt:lpstr>
      <vt:lpstr>'Столы письменные'!Область_печати</vt:lpstr>
      <vt:lpstr>Тумбы!Область_печати</vt:lpstr>
      <vt:lpstr>Шкафы!Область_печати</vt:lpstr>
      <vt:lpstr>'Школьная мебель'!Область_печати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Степан Шестаков</dc:creator>
  <cp:lastModifiedBy>Степан Шестаков</cp:lastModifiedBy>
  <cp:lastPrinted>2023-11-22T05:03:08Z</cp:lastPrinted>
  <dcterms:created xsi:type="dcterms:W3CDTF">2015-06-05T18:17:20Z</dcterms:created>
  <dcterms:modified xsi:type="dcterms:W3CDTF">2024-05-02T07:42:38Z</dcterms:modified>
</cp:coreProperties>
</file>